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<sst xmlns="http://schemas.openxmlformats.org/spreadsheetml/2006/main" count="98" uniqueCount="82">
  <si>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</si>
  <si>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</si>
  <si>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</si>
  <si>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</si>
  <si>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</si>
  <si>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</si>
  <si>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</si>
  <si>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</si>
  <si>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</si>
  <si>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</si>
  <si>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</si>
  <si>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</si>
  <si>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</si>
  <si>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</si>
  <si>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</si>
  <si>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</si>
  <si>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</si>
  <si>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</si>
  <si>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</si>
  <si>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</si>
  <si>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</si>
  <si>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</si>
  <si>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</si>
  <si>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</si>
  <si>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</si>
  <si>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</si>
  <si>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</si>
  <si>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</si>
  <si>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</si>
  <si>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</si>
  <si>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</si>
  <si>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</si>
  <si>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</si>
  <si>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</si>
  <si>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</si>
  <si>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</si>
  <si>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</si>
  <si>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</si>
  <si>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</si>
  <si>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</si>
  <si>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</si>
  <si>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</si>
  <si>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</si>
  <si>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</si>
  <si>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</si>
  <si>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</si>
  <si>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</si>
  <si>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</si>
  <si>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</si>
  <si>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</si>
  <si>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</si>
  <si>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</si>
  <si>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</si>
  <si>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</si>
  <si>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</si>
  <si>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</si>
  <si>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</si>
  <si>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</si>
  <si>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</si>
  <si>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</si>
  <si>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</si>
  <si>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</si>
  <si>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</si>
  <si>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</si>
  <si>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</si>
  <si>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</si>
  <si>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</si>
  <si>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</si>
  <si>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</si>
  <si>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</si>
  <si>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</si>
  <si>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</si>
  <si>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</si>
  <si>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</si>
  <si>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</si>
  <si>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</si>
  <si>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</si>
  <si>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</si>
  <si>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</si>
  <si>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</si>
  <si>
    <t>E  ZOBOWIĄZANIA WG TYTUŁÓW DŁUŻNYCH (E1+E2+E3+E4)</t>
  </si>
  <si>
    <t>N5.2 z tytułu podatków i składek na ubezpieczenia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</si>
</sst>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169" fontId="5" fillId="0" borderId="19" xfId="0" applyNumberFormat="1" applyFont="1" applyBorder="1" applyAlignment="1">
      <alignment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5" fillId="0" borderId="19" xfId="88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3" fillId="0" borderId="21" xfId="88" applyNumberFormat="1" applyFont="1" applyFill="1" applyBorder="1" applyAlignment="1">
      <alignment horizontal="right" vertical="center" wrapText="1"/>
      <protection/>
    </xf>
    <xf numFmtId="3" fontId="3" fillId="0" borderId="23" xfId="88" applyNumberFormat="1" applyFont="1" applyFill="1" applyBorder="1" applyAlignment="1">
      <alignment horizontal="right" vertical="center" wrapText="1"/>
      <protection/>
    </xf>
    <xf numFmtId="4" fontId="3" fillId="0" borderId="21" xfId="88" applyNumberFormat="1" applyFont="1" applyFill="1" applyBorder="1" applyAlignment="1">
      <alignment horizontal="right" vertical="center" wrapText="1"/>
      <protection/>
    </xf>
    <xf numFmtId="4" fontId="3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7"/>
  <sheetViews>
    <sheetView tabSelected="1" zoomScaleSheetLayoutView="50" workbookViewId="0" topLeftCell="A1">
      <selection activeCell="A6" sqref="A6:A10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6" width="11.125" style="2" customWidth="1"/>
    <col min="17" max="16384" width="9.125" style="2" customWidth="1"/>
  </cols>
  <sheetData>
    <row r="1" spans="1:13" ht="75" customHeight="1">
      <c r="A1" s="37" t="str">
        <f>CONCATENATE("Informacja z wykonania budżetów województw za  ",$C$94," ",$B$95," roku    ",$B$97,"")</f>
        <v>Informacja z wykonania budżetów województw za  IV Kwartały 2021 roku    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5" spans="2:17" ht="13.5" customHeight="1">
      <c r="B5" s="1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1"/>
      <c r="O5" s="11"/>
      <c r="P5" s="11"/>
      <c r="Q5" s="11"/>
    </row>
    <row r="6" spans="1:17" ht="13.5" customHeight="1">
      <c r="A6" s="42" t="s">
        <v>0</v>
      </c>
      <c r="B6" s="47" t="s">
        <v>64</v>
      </c>
      <c r="C6" s="51" t="s">
        <v>68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1" t="s">
        <v>67</v>
      </c>
      <c r="P6" s="52"/>
      <c r="Q6" s="53"/>
    </row>
    <row r="7" spans="1:17" ht="13.5" customHeight="1">
      <c r="A7" s="43"/>
      <c r="B7" s="45"/>
      <c r="C7" s="46" t="s">
        <v>65</v>
      </c>
      <c r="D7" s="46" t="s">
        <v>76</v>
      </c>
      <c r="E7" s="46" t="s">
        <v>69</v>
      </c>
      <c r="F7" s="46" t="s">
        <v>70</v>
      </c>
      <c r="G7" s="46" t="s">
        <v>27</v>
      </c>
      <c r="H7" s="46" t="s">
        <v>28</v>
      </c>
      <c r="I7" s="48" t="s">
        <v>66</v>
      </c>
      <c r="J7" s="46" t="s">
        <v>16</v>
      </c>
      <c r="K7" s="46" t="s">
        <v>17</v>
      </c>
      <c r="L7" s="46" t="s">
        <v>18</v>
      </c>
      <c r="M7" s="46" t="s">
        <v>19</v>
      </c>
      <c r="N7" s="45" t="s">
        <v>20</v>
      </c>
      <c r="O7" s="36" t="s">
        <v>21</v>
      </c>
      <c r="P7" s="36" t="s">
        <v>22</v>
      </c>
      <c r="Q7" s="36" t="s">
        <v>23</v>
      </c>
    </row>
    <row r="8" spans="1:17" ht="13.5" customHeight="1">
      <c r="A8" s="43"/>
      <c r="B8" s="45"/>
      <c r="C8" s="36"/>
      <c r="D8" s="36"/>
      <c r="E8" s="36"/>
      <c r="F8" s="36"/>
      <c r="G8" s="36"/>
      <c r="H8" s="36"/>
      <c r="I8" s="48"/>
      <c r="J8" s="36"/>
      <c r="K8" s="36"/>
      <c r="L8" s="36"/>
      <c r="M8" s="36"/>
      <c r="N8" s="45"/>
      <c r="O8" s="36"/>
      <c r="P8" s="36"/>
      <c r="Q8" s="36"/>
    </row>
    <row r="9" spans="1:17" ht="11.25" customHeight="1">
      <c r="A9" s="43"/>
      <c r="B9" s="45"/>
      <c r="C9" s="36"/>
      <c r="D9" s="36"/>
      <c r="E9" s="36"/>
      <c r="F9" s="36"/>
      <c r="G9" s="36"/>
      <c r="H9" s="36"/>
      <c r="I9" s="48"/>
      <c r="J9" s="36"/>
      <c r="K9" s="36"/>
      <c r="L9" s="36"/>
      <c r="M9" s="36"/>
      <c r="N9" s="45"/>
      <c r="O9" s="36"/>
      <c r="P9" s="36"/>
      <c r="Q9" s="36"/>
    </row>
    <row r="10" spans="1:17" ht="27.75" customHeight="1">
      <c r="A10" s="44"/>
      <c r="B10" s="46"/>
      <c r="C10" s="36"/>
      <c r="D10" s="36"/>
      <c r="E10" s="36"/>
      <c r="F10" s="36"/>
      <c r="G10" s="36"/>
      <c r="H10" s="36"/>
      <c r="I10" s="49"/>
      <c r="J10" s="36"/>
      <c r="K10" s="36"/>
      <c r="L10" s="36"/>
      <c r="M10" s="36"/>
      <c r="N10" s="46"/>
      <c r="O10" s="36"/>
      <c r="P10" s="36"/>
      <c r="Q10" s="36"/>
    </row>
    <row r="11" spans="1:17" ht="1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</row>
    <row r="12" spans="1:17" ht="13.5" customHeight="1">
      <c r="A12" s="13"/>
      <c r="B12" s="28" t="s">
        <v>79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43.5" customHeight="1">
      <c r="A13" s="21" t="s">
        <v>80</v>
      </c>
      <c r="B13" s="22">
        <f>5686343205.78</f>
        <v>5686343205.78</v>
      </c>
      <c r="C13" s="22">
        <f>3437347187.44</f>
        <v>3437347187.44</v>
      </c>
      <c r="D13" s="22">
        <f>197919781.73</f>
        <v>197919781.73</v>
      </c>
      <c r="E13" s="22">
        <f>194000423.35</f>
        <v>194000423.35</v>
      </c>
      <c r="F13" s="22">
        <f>0</f>
        <v>0</v>
      </c>
      <c r="G13" s="22">
        <f>3919358.38</f>
        <v>3919358.38</v>
      </c>
      <c r="H13" s="22">
        <f>0</f>
        <v>0</v>
      </c>
      <c r="I13" s="22">
        <f>0</f>
        <v>0</v>
      </c>
      <c r="J13" s="22">
        <f>2993152180.28</f>
        <v>2993152180.28</v>
      </c>
      <c r="K13" s="22">
        <f>0</f>
        <v>0</v>
      </c>
      <c r="L13" s="22">
        <f>245943199.91</f>
        <v>245943199.91</v>
      </c>
      <c r="M13" s="22">
        <f>324093.16</f>
        <v>324093.16</v>
      </c>
      <c r="N13" s="22">
        <f>7932.36</f>
        <v>7932.36</v>
      </c>
      <c r="O13" s="22">
        <f>2248996018.34</f>
        <v>2248996018.34</v>
      </c>
      <c r="P13" s="22">
        <f>2248996018.34</f>
        <v>2248996018.34</v>
      </c>
      <c r="Q13" s="22">
        <f>0</f>
        <v>0</v>
      </c>
    </row>
    <row r="14" spans="1:17" ht="28.5" customHeight="1">
      <c r="A14" s="21" t="s">
        <v>46</v>
      </c>
      <c r="B14" s="22">
        <f>232750000</f>
        <v>232750000</v>
      </c>
      <c r="C14" s="22">
        <f>232750000</f>
        <v>232750000</v>
      </c>
      <c r="D14" s="22">
        <f>0</f>
        <v>0</v>
      </c>
      <c r="E14" s="22">
        <f>0</f>
        <v>0</v>
      </c>
      <c r="F14" s="22">
        <f>0</f>
        <v>0</v>
      </c>
      <c r="G14" s="22">
        <f>0</f>
        <v>0</v>
      </c>
      <c r="H14" s="22">
        <f>0</f>
        <v>0</v>
      </c>
      <c r="I14" s="22">
        <f>0</f>
        <v>0</v>
      </c>
      <c r="J14" s="22">
        <f>232750000</f>
        <v>232750000</v>
      </c>
      <c r="K14" s="22">
        <f>0</f>
        <v>0</v>
      </c>
      <c r="L14" s="22">
        <f>0</f>
        <v>0</v>
      </c>
      <c r="M14" s="22">
        <f>0</f>
        <v>0</v>
      </c>
      <c r="N14" s="22">
        <f>0</f>
        <v>0</v>
      </c>
      <c r="O14" s="22">
        <f>0</f>
        <v>0</v>
      </c>
      <c r="P14" s="22">
        <f>0</f>
        <v>0</v>
      </c>
      <c r="Q14" s="22">
        <f>0</f>
        <v>0</v>
      </c>
    </row>
    <row r="15" spans="1:17" ht="22.5" customHeight="1">
      <c r="A15" s="19" t="s">
        <v>47</v>
      </c>
      <c r="B15" s="23">
        <f>0</f>
        <v>0</v>
      </c>
      <c r="C15" s="23">
        <f>0</f>
        <v>0</v>
      </c>
      <c r="D15" s="23">
        <f>0</f>
        <v>0</v>
      </c>
      <c r="E15" s="23">
        <f>0</f>
        <v>0</v>
      </c>
      <c r="F15" s="23">
        <f>0</f>
        <v>0</v>
      </c>
      <c r="G15" s="23">
        <f>0</f>
        <v>0</v>
      </c>
      <c r="H15" s="23">
        <f>0</f>
        <v>0</v>
      </c>
      <c r="I15" s="23">
        <f>0</f>
        <v>0</v>
      </c>
      <c r="J15" s="23">
        <f>0</f>
        <v>0</v>
      </c>
      <c r="K15" s="23">
        <f>0</f>
        <v>0</v>
      </c>
      <c r="L15" s="23">
        <f>0</f>
        <v>0</v>
      </c>
      <c r="M15" s="23">
        <f>0</f>
        <v>0</v>
      </c>
      <c r="N15" s="23">
        <f>0</f>
        <v>0</v>
      </c>
      <c r="O15" s="23">
        <f>0</f>
        <v>0</v>
      </c>
      <c r="P15" s="23">
        <f>0</f>
        <v>0</v>
      </c>
      <c r="Q15" s="23">
        <f>0</f>
        <v>0</v>
      </c>
    </row>
    <row r="16" spans="1:17" ht="22.5" customHeight="1">
      <c r="A16" s="19" t="s">
        <v>48</v>
      </c>
      <c r="B16" s="23">
        <f>232750000</f>
        <v>232750000</v>
      </c>
      <c r="C16" s="23">
        <f>232750000</f>
        <v>232750000</v>
      </c>
      <c r="D16" s="23">
        <f>0</f>
        <v>0</v>
      </c>
      <c r="E16" s="23">
        <f>0</f>
        <v>0</v>
      </c>
      <c r="F16" s="23">
        <f>0</f>
        <v>0</v>
      </c>
      <c r="G16" s="23">
        <f>0</f>
        <v>0</v>
      </c>
      <c r="H16" s="23">
        <f>0</f>
        <v>0</v>
      </c>
      <c r="I16" s="23">
        <f>0</f>
        <v>0</v>
      </c>
      <c r="J16" s="23">
        <f>232750000</f>
        <v>232750000</v>
      </c>
      <c r="K16" s="23">
        <f>0</f>
        <v>0</v>
      </c>
      <c r="L16" s="23">
        <f>0</f>
        <v>0</v>
      </c>
      <c r="M16" s="23">
        <f>0</f>
        <v>0</v>
      </c>
      <c r="N16" s="23">
        <f>0</f>
        <v>0</v>
      </c>
      <c r="O16" s="23">
        <f>0</f>
        <v>0</v>
      </c>
      <c r="P16" s="23">
        <f>0</f>
        <v>0</v>
      </c>
      <c r="Q16" s="23">
        <f>0</f>
        <v>0</v>
      </c>
    </row>
    <row r="17" spans="1:17" ht="36" customHeight="1">
      <c r="A17" s="21" t="s">
        <v>49</v>
      </c>
      <c r="B17" s="22">
        <f>5452559724.14</f>
        <v>5452559724.14</v>
      </c>
      <c r="C17" s="22">
        <f>3203563705.8</f>
        <v>3203563705.8</v>
      </c>
      <c r="D17" s="22">
        <f>197887865.52</f>
        <v>197887865.52</v>
      </c>
      <c r="E17" s="22">
        <f>194000000</f>
        <v>194000000</v>
      </c>
      <c r="F17" s="22">
        <f>0</f>
        <v>0</v>
      </c>
      <c r="G17" s="22">
        <f>3887865.52</f>
        <v>3887865.52</v>
      </c>
      <c r="H17" s="22">
        <f>0</f>
        <v>0</v>
      </c>
      <c r="I17" s="22">
        <f>0</f>
        <v>0</v>
      </c>
      <c r="J17" s="22">
        <f>2760389190.28</f>
        <v>2760389190.28</v>
      </c>
      <c r="K17" s="22">
        <f>0</f>
        <v>0</v>
      </c>
      <c r="L17" s="22">
        <f>245286650</f>
        <v>245286650</v>
      </c>
      <c r="M17" s="22">
        <f>0</f>
        <v>0</v>
      </c>
      <c r="N17" s="22">
        <f>0</f>
        <v>0</v>
      </c>
      <c r="O17" s="22">
        <f>2248996018.34</f>
        <v>2248996018.34</v>
      </c>
      <c r="P17" s="22">
        <f>2248996018.34</f>
        <v>2248996018.34</v>
      </c>
      <c r="Q17" s="22">
        <f>0</f>
        <v>0</v>
      </c>
    </row>
    <row r="18" spans="1:17" ht="22.5" customHeight="1">
      <c r="A18" s="19" t="s">
        <v>50</v>
      </c>
      <c r="B18" s="23">
        <f>0</f>
        <v>0</v>
      </c>
      <c r="C18" s="23">
        <f>0</f>
        <v>0</v>
      </c>
      <c r="D18" s="23">
        <f>0</f>
        <v>0</v>
      </c>
      <c r="E18" s="23">
        <f>0</f>
        <v>0</v>
      </c>
      <c r="F18" s="23">
        <f>0</f>
        <v>0</v>
      </c>
      <c r="G18" s="23">
        <f>0</f>
        <v>0</v>
      </c>
      <c r="H18" s="23">
        <f>0</f>
        <v>0</v>
      </c>
      <c r="I18" s="23">
        <f>0</f>
        <v>0</v>
      </c>
      <c r="J18" s="23">
        <f>0</f>
        <v>0</v>
      </c>
      <c r="K18" s="23">
        <f>0</f>
        <v>0</v>
      </c>
      <c r="L18" s="23">
        <f>0</f>
        <v>0</v>
      </c>
      <c r="M18" s="23">
        <f>0</f>
        <v>0</v>
      </c>
      <c r="N18" s="23">
        <f>0</f>
        <v>0</v>
      </c>
      <c r="O18" s="23">
        <f>0</f>
        <v>0</v>
      </c>
      <c r="P18" s="23">
        <f>0</f>
        <v>0</v>
      </c>
      <c r="Q18" s="23">
        <f>0</f>
        <v>0</v>
      </c>
    </row>
    <row r="19" spans="1:17" ht="22.5" customHeight="1">
      <c r="A19" s="19" t="s">
        <v>51</v>
      </c>
      <c r="B19" s="23">
        <f>5452559724.14</f>
        <v>5452559724.14</v>
      </c>
      <c r="C19" s="23">
        <f>3203563705.8</f>
        <v>3203563705.8</v>
      </c>
      <c r="D19" s="23">
        <f>197887865.52</f>
        <v>197887865.52</v>
      </c>
      <c r="E19" s="23">
        <f>194000000</f>
        <v>194000000</v>
      </c>
      <c r="F19" s="23">
        <f>0</f>
        <v>0</v>
      </c>
      <c r="G19" s="23">
        <f>3887865.52</f>
        <v>3887865.52</v>
      </c>
      <c r="H19" s="23">
        <f>0</f>
        <v>0</v>
      </c>
      <c r="I19" s="23">
        <f>0</f>
        <v>0</v>
      </c>
      <c r="J19" s="23">
        <f>2760389190.28</f>
        <v>2760389190.28</v>
      </c>
      <c r="K19" s="23">
        <f>0</f>
        <v>0</v>
      </c>
      <c r="L19" s="23">
        <f>245286650</f>
        <v>245286650</v>
      </c>
      <c r="M19" s="23">
        <f>0</f>
        <v>0</v>
      </c>
      <c r="N19" s="23">
        <f>0</f>
        <v>0</v>
      </c>
      <c r="O19" s="23">
        <f>2248996018.34</f>
        <v>2248996018.34</v>
      </c>
      <c r="P19" s="23">
        <f>2248996018.34</f>
        <v>2248996018.34</v>
      </c>
      <c r="Q19" s="23">
        <f>0</f>
        <v>0</v>
      </c>
    </row>
    <row r="20" spans="1:17" ht="36" customHeight="1">
      <c r="A20" s="21" t="s">
        <v>52</v>
      </c>
      <c r="B20" s="22">
        <f>0</f>
        <v>0</v>
      </c>
      <c r="C20" s="22">
        <f>0</f>
        <v>0</v>
      </c>
      <c r="D20" s="22">
        <f>0</f>
        <v>0</v>
      </c>
      <c r="E20" s="22">
        <f>0</f>
        <v>0</v>
      </c>
      <c r="F20" s="22">
        <f>0</f>
        <v>0</v>
      </c>
      <c r="G20" s="22">
        <f>0</f>
        <v>0</v>
      </c>
      <c r="H20" s="22">
        <f>0</f>
        <v>0</v>
      </c>
      <c r="I20" s="22">
        <f>0</f>
        <v>0</v>
      </c>
      <c r="J20" s="22">
        <f>0</f>
        <v>0</v>
      </c>
      <c r="K20" s="22">
        <f>0</f>
        <v>0</v>
      </c>
      <c r="L20" s="22">
        <f>0</f>
        <v>0</v>
      </c>
      <c r="M20" s="22">
        <f>0</f>
        <v>0</v>
      </c>
      <c r="N20" s="22">
        <f>0</f>
        <v>0</v>
      </c>
      <c r="O20" s="22">
        <f>0</f>
        <v>0</v>
      </c>
      <c r="P20" s="22">
        <f>0</f>
        <v>0</v>
      </c>
      <c r="Q20" s="22">
        <f>0</f>
        <v>0</v>
      </c>
    </row>
    <row r="21" spans="1:17" ht="36" customHeight="1">
      <c r="A21" s="21" t="s">
        <v>53</v>
      </c>
      <c r="B21" s="22">
        <f>1033481.64</f>
        <v>1033481.64</v>
      </c>
      <c r="C21" s="22">
        <f>1033481.64</f>
        <v>1033481.64</v>
      </c>
      <c r="D21" s="22">
        <f>31916.21</f>
        <v>31916.21</v>
      </c>
      <c r="E21" s="22">
        <f>423.35</f>
        <v>423.35</v>
      </c>
      <c r="F21" s="22">
        <f>0</f>
        <v>0</v>
      </c>
      <c r="G21" s="22">
        <f>31492.86</f>
        <v>31492.86</v>
      </c>
      <c r="H21" s="22">
        <f>0</f>
        <v>0</v>
      </c>
      <c r="I21" s="22">
        <f>0</f>
        <v>0</v>
      </c>
      <c r="J21" s="22">
        <f>12990</f>
        <v>12990</v>
      </c>
      <c r="K21" s="22">
        <f>0</f>
        <v>0</v>
      </c>
      <c r="L21" s="22">
        <f>656549.91</f>
        <v>656549.91</v>
      </c>
      <c r="M21" s="22">
        <f>324093.16</f>
        <v>324093.16</v>
      </c>
      <c r="N21" s="22">
        <f>7932.36</f>
        <v>7932.36</v>
      </c>
      <c r="O21" s="22">
        <f>0</f>
        <v>0</v>
      </c>
      <c r="P21" s="22">
        <f>0</f>
        <v>0</v>
      </c>
      <c r="Q21" s="22">
        <f>0</f>
        <v>0</v>
      </c>
    </row>
    <row r="22" spans="1:17" ht="30" customHeight="1">
      <c r="A22" s="19" t="s">
        <v>54</v>
      </c>
      <c r="B22" s="23">
        <f>742220.33</f>
        <v>742220.33</v>
      </c>
      <c r="C22" s="23">
        <f>742220.33</f>
        <v>742220.33</v>
      </c>
      <c r="D22" s="23">
        <f>30538.86</f>
        <v>30538.86</v>
      </c>
      <c r="E22" s="23">
        <f>0</f>
        <v>0</v>
      </c>
      <c r="F22" s="23">
        <f>0</f>
        <v>0</v>
      </c>
      <c r="G22" s="23">
        <f>30538.86</f>
        <v>30538.86</v>
      </c>
      <c r="H22" s="23">
        <f>0</f>
        <v>0</v>
      </c>
      <c r="I22" s="23">
        <f>0</f>
        <v>0</v>
      </c>
      <c r="J22" s="23">
        <f>0</f>
        <v>0</v>
      </c>
      <c r="K22" s="23">
        <f>0</f>
        <v>0</v>
      </c>
      <c r="L22" s="23">
        <f>646489.91</f>
        <v>646489.91</v>
      </c>
      <c r="M22" s="23">
        <f>57259.2</f>
        <v>57259.2</v>
      </c>
      <c r="N22" s="23">
        <f>7932.36</f>
        <v>7932.36</v>
      </c>
      <c r="O22" s="23">
        <f>0</f>
        <v>0</v>
      </c>
      <c r="P22" s="23">
        <f>0</f>
        <v>0</v>
      </c>
      <c r="Q22" s="23">
        <f>0</f>
        <v>0</v>
      </c>
    </row>
    <row r="23" spans="1:17" ht="28.5" customHeight="1">
      <c r="A23" s="19" t="s">
        <v>55</v>
      </c>
      <c r="B23" s="23">
        <f>291261.31</f>
        <v>291261.31</v>
      </c>
      <c r="C23" s="23">
        <f>291261.31</f>
        <v>291261.31</v>
      </c>
      <c r="D23" s="23">
        <f>1377.35</f>
        <v>1377.35</v>
      </c>
      <c r="E23" s="23">
        <f>423.35</f>
        <v>423.35</v>
      </c>
      <c r="F23" s="23">
        <f>0</f>
        <v>0</v>
      </c>
      <c r="G23" s="23">
        <f>954</f>
        <v>954</v>
      </c>
      <c r="H23" s="23">
        <f>0</f>
        <v>0</v>
      </c>
      <c r="I23" s="23">
        <f>0</f>
        <v>0</v>
      </c>
      <c r="J23" s="23">
        <f>12990</f>
        <v>12990</v>
      </c>
      <c r="K23" s="23">
        <f>0</f>
        <v>0</v>
      </c>
      <c r="L23" s="23">
        <f>10060</f>
        <v>10060</v>
      </c>
      <c r="M23" s="23">
        <f>266833.96</f>
        <v>266833.96</v>
      </c>
      <c r="N23" s="23">
        <f>0</f>
        <v>0</v>
      </c>
      <c r="O23" s="23">
        <f>0</f>
        <v>0</v>
      </c>
      <c r="P23" s="23">
        <f>0</f>
        <v>0</v>
      </c>
      <c r="Q23" s="23">
        <f>0</f>
        <v>0</v>
      </c>
    </row>
    <row r="24" spans="1:17" ht="19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9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9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9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9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3" ht="45.75" customHeight="1">
      <c r="A29" s="37" t="str">
        <f>CONCATENATE("Informacja z wykonania budżetów województw za  ",$C$94," ",$B$95," roku    ",$B$97,"")</f>
        <v>Informacja z wykonania budżetów województw za  IV Kwartały 2021 roku    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1" spans="1:13" ht="13.5" customHeight="1">
      <c r="A31" s="41" t="s">
        <v>11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3" spans="1:17" ht="13.5" customHeight="1">
      <c r="A33" s="42" t="s">
        <v>0</v>
      </c>
      <c r="B33" s="47" t="s">
        <v>12</v>
      </c>
      <c r="C33" s="38" t="s">
        <v>14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38" t="s">
        <v>24</v>
      </c>
      <c r="P33" s="39"/>
      <c r="Q33" s="40"/>
    </row>
    <row r="34" spans="1:17" ht="13.5" customHeight="1">
      <c r="A34" s="43"/>
      <c r="B34" s="45"/>
      <c r="C34" s="45" t="s">
        <v>13</v>
      </c>
      <c r="D34" s="36" t="s">
        <v>15</v>
      </c>
      <c r="E34" s="36" t="s">
        <v>25</v>
      </c>
      <c r="F34" s="36" t="s">
        <v>26</v>
      </c>
      <c r="G34" s="36" t="s">
        <v>73</v>
      </c>
      <c r="H34" s="36" t="s">
        <v>28</v>
      </c>
      <c r="I34" s="36" t="s">
        <v>1</v>
      </c>
      <c r="J34" s="36" t="s">
        <v>16</v>
      </c>
      <c r="K34" s="36" t="s">
        <v>17</v>
      </c>
      <c r="L34" s="36" t="s">
        <v>18</v>
      </c>
      <c r="M34" s="36" t="s">
        <v>19</v>
      </c>
      <c r="N34" s="76" t="s">
        <v>20</v>
      </c>
      <c r="O34" s="36" t="s">
        <v>21</v>
      </c>
      <c r="P34" s="36" t="s">
        <v>22</v>
      </c>
      <c r="Q34" s="47" t="s">
        <v>23</v>
      </c>
    </row>
    <row r="35" spans="1:17" ht="13.5" customHeight="1">
      <c r="A35" s="43"/>
      <c r="B35" s="45"/>
      <c r="C35" s="4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76"/>
      <c r="O35" s="36"/>
      <c r="P35" s="36"/>
      <c r="Q35" s="45"/>
    </row>
    <row r="36" spans="1:17" ht="11.25" customHeight="1">
      <c r="A36" s="43"/>
      <c r="B36" s="45"/>
      <c r="C36" s="4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6"/>
      <c r="O36" s="36"/>
      <c r="P36" s="36"/>
      <c r="Q36" s="45"/>
    </row>
    <row r="37" spans="1:17" ht="11.25" customHeight="1">
      <c r="A37" s="44"/>
      <c r="B37" s="46"/>
      <c r="C37" s="4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76"/>
      <c r="O37" s="36"/>
      <c r="P37" s="36"/>
      <c r="Q37" s="46"/>
    </row>
    <row r="38" spans="1:17" ht="11.25" customHeight="1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  <c r="L38" s="13">
        <v>12</v>
      </c>
      <c r="M38" s="13">
        <v>13</v>
      </c>
      <c r="N38" s="13">
        <v>14</v>
      </c>
      <c r="O38" s="13">
        <v>15</v>
      </c>
      <c r="P38" s="13">
        <v>16</v>
      </c>
      <c r="Q38" s="13">
        <v>17</v>
      </c>
    </row>
    <row r="39" spans="1:17" ht="13.5" customHeight="1">
      <c r="A39" s="13"/>
      <c r="B39" s="28" t="s">
        <v>79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  <row r="40" spans="1:17" ht="27.75" customHeight="1" hidden="1">
      <c r="A40" s="14" t="s">
        <v>29</v>
      </c>
      <c r="B40" s="15">
        <f>0</f>
        <v>0</v>
      </c>
      <c r="C40" s="15">
        <f>0</f>
        <v>0</v>
      </c>
      <c r="D40" s="15">
        <f>0</f>
        <v>0</v>
      </c>
      <c r="E40" s="15">
        <f>0</f>
        <v>0</v>
      </c>
      <c r="F40" s="15">
        <f>0</f>
        <v>0</v>
      </c>
      <c r="G40" s="15">
        <f>0</f>
        <v>0</v>
      </c>
      <c r="H40" s="15">
        <f>0</f>
        <v>0</v>
      </c>
      <c r="I40" s="15">
        <f>0</f>
        <v>0</v>
      </c>
      <c r="J40" s="15">
        <f>0</f>
        <v>0</v>
      </c>
      <c r="K40" s="15">
        <f>0</f>
        <v>0</v>
      </c>
      <c r="L40" s="15">
        <f>0</f>
        <v>0</v>
      </c>
      <c r="M40" s="15">
        <f>0</f>
        <v>0</v>
      </c>
      <c r="N40" s="15">
        <f>0</f>
        <v>0</v>
      </c>
      <c r="O40" s="15">
        <f>0</f>
        <v>0</v>
      </c>
      <c r="P40" s="15">
        <f>0</f>
        <v>0</v>
      </c>
      <c r="Q40" s="15">
        <f>0</f>
        <v>0</v>
      </c>
    </row>
    <row r="41" spans="1:17" ht="30.75" customHeight="1">
      <c r="A41" s="26" t="s">
        <v>41</v>
      </c>
      <c r="B41" s="24">
        <f>0</f>
        <v>0</v>
      </c>
      <c r="C41" s="24">
        <f>0</f>
        <v>0</v>
      </c>
      <c r="D41" s="24">
        <f>0</f>
        <v>0</v>
      </c>
      <c r="E41" s="24">
        <f>0</f>
        <v>0</v>
      </c>
      <c r="F41" s="24">
        <f>0</f>
        <v>0</v>
      </c>
      <c r="G41" s="24">
        <f>0</f>
        <v>0</v>
      </c>
      <c r="H41" s="24">
        <f>0</f>
        <v>0</v>
      </c>
      <c r="I41" s="24">
        <f>0</f>
        <v>0</v>
      </c>
      <c r="J41" s="24">
        <f>0</f>
        <v>0</v>
      </c>
      <c r="K41" s="24">
        <f>0</f>
        <v>0</v>
      </c>
      <c r="L41" s="24">
        <f>0</f>
        <v>0</v>
      </c>
      <c r="M41" s="24">
        <f>0</f>
        <v>0</v>
      </c>
      <c r="N41" s="24">
        <f>0</f>
        <v>0</v>
      </c>
      <c r="O41" s="24">
        <f>0</f>
        <v>0</v>
      </c>
      <c r="P41" s="24">
        <f>0</f>
        <v>0</v>
      </c>
      <c r="Q41" s="24">
        <f>0</f>
        <v>0</v>
      </c>
    </row>
    <row r="42" spans="1:17" ht="24" customHeight="1">
      <c r="A42" s="20" t="s">
        <v>30</v>
      </c>
      <c r="B42" s="25">
        <f>0</f>
        <v>0</v>
      </c>
      <c r="C42" s="25">
        <f>0</f>
        <v>0</v>
      </c>
      <c r="D42" s="25">
        <f>0</f>
        <v>0</v>
      </c>
      <c r="E42" s="25">
        <f>0</f>
        <v>0</v>
      </c>
      <c r="F42" s="25">
        <f>0</f>
        <v>0</v>
      </c>
      <c r="G42" s="25">
        <f>0</f>
        <v>0</v>
      </c>
      <c r="H42" s="25">
        <f>0</f>
        <v>0</v>
      </c>
      <c r="I42" s="25">
        <f>0</f>
        <v>0</v>
      </c>
      <c r="J42" s="25">
        <f>0</f>
        <v>0</v>
      </c>
      <c r="K42" s="25">
        <f>0</f>
        <v>0</v>
      </c>
      <c r="L42" s="25">
        <f>0</f>
        <v>0</v>
      </c>
      <c r="M42" s="25">
        <f>0</f>
        <v>0</v>
      </c>
      <c r="N42" s="25">
        <f>0</f>
        <v>0</v>
      </c>
      <c r="O42" s="25">
        <f>0</f>
        <v>0</v>
      </c>
      <c r="P42" s="25">
        <f>0</f>
        <v>0</v>
      </c>
      <c r="Q42" s="25">
        <f>0</f>
        <v>0</v>
      </c>
    </row>
    <row r="43" spans="1:17" ht="24" customHeight="1">
      <c r="A43" s="20" t="s">
        <v>31</v>
      </c>
      <c r="B43" s="25">
        <f>0</f>
        <v>0</v>
      </c>
      <c r="C43" s="25">
        <f>0</f>
        <v>0</v>
      </c>
      <c r="D43" s="25">
        <f>0</f>
        <v>0</v>
      </c>
      <c r="E43" s="25">
        <f>0</f>
        <v>0</v>
      </c>
      <c r="F43" s="25">
        <f>0</f>
        <v>0</v>
      </c>
      <c r="G43" s="25">
        <f>0</f>
        <v>0</v>
      </c>
      <c r="H43" s="25">
        <f>0</f>
        <v>0</v>
      </c>
      <c r="I43" s="25">
        <f>0</f>
        <v>0</v>
      </c>
      <c r="J43" s="25">
        <f>0</f>
        <v>0</v>
      </c>
      <c r="K43" s="25">
        <f>0</f>
        <v>0</v>
      </c>
      <c r="L43" s="25">
        <f>0</f>
        <v>0</v>
      </c>
      <c r="M43" s="25">
        <f>0</f>
        <v>0</v>
      </c>
      <c r="N43" s="25">
        <f>0</f>
        <v>0</v>
      </c>
      <c r="O43" s="25">
        <f>0</f>
        <v>0</v>
      </c>
      <c r="P43" s="25">
        <f>0</f>
        <v>0</v>
      </c>
      <c r="Q43" s="25">
        <f>0</f>
        <v>0</v>
      </c>
    </row>
    <row r="44" spans="1:17" ht="30.75" customHeight="1">
      <c r="A44" s="26" t="s">
        <v>42</v>
      </c>
      <c r="B44" s="24">
        <f>367081191.61</f>
        <v>367081191.61</v>
      </c>
      <c r="C44" s="24">
        <f>367081191.61</f>
        <v>367081191.61</v>
      </c>
      <c r="D44" s="24">
        <f>318862403.39</f>
        <v>318862403.39</v>
      </c>
      <c r="E44" s="24">
        <f>49190.05</f>
        <v>49190.05</v>
      </c>
      <c r="F44" s="24">
        <f>12842.46</f>
        <v>12842.46</v>
      </c>
      <c r="G44" s="24">
        <f>318800370.88</f>
        <v>318800370.88</v>
      </c>
      <c r="H44" s="24">
        <f>0</f>
        <v>0</v>
      </c>
      <c r="I44" s="24">
        <f>0</f>
        <v>0</v>
      </c>
      <c r="J44" s="24">
        <f>0</f>
        <v>0</v>
      </c>
      <c r="K44" s="24">
        <f>0</f>
        <v>0</v>
      </c>
      <c r="L44" s="24">
        <f>44499534.49</f>
        <v>44499534.49</v>
      </c>
      <c r="M44" s="24">
        <f>3477708.22</f>
        <v>3477708.22</v>
      </c>
      <c r="N44" s="24">
        <f>241545.51</f>
        <v>241545.51</v>
      </c>
      <c r="O44" s="24">
        <f>0</f>
        <v>0</v>
      </c>
      <c r="P44" s="24">
        <f>0</f>
        <v>0</v>
      </c>
      <c r="Q44" s="24">
        <f>0</f>
        <v>0</v>
      </c>
    </row>
    <row r="45" spans="1:17" ht="24" customHeight="1">
      <c r="A45" s="20" t="s">
        <v>32</v>
      </c>
      <c r="B45" s="25">
        <f>7466335.16</f>
        <v>7466335.16</v>
      </c>
      <c r="C45" s="25">
        <f>7466335.16</f>
        <v>7466335.16</v>
      </c>
      <c r="D45" s="25">
        <f>7383313.54</f>
        <v>7383313.54</v>
      </c>
      <c r="E45" s="25">
        <f>0</f>
        <v>0</v>
      </c>
      <c r="F45" s="25">
        <f>0</f>
        <v>0</v>
      </c>
      <c r="G45" s="25">
        <f>7383313.54</f>
        <v>7383313.54</v>
      </c>
      <c r="H45" s="25">
        <f>0</f>
        <v>0</v>
      </c>
      <c r="I45" s="25">
        <f>0</f>
        <v>0</v>
      </c>
      <c r="J45" s="25">
        <f>0</f>
        <v>0</v>
      </c>
      <c r="K45" s="25">
        <f>0</f>
        <v>0</v>
      </c>
      <c r="L45" s="25">
        <f>83021.62</f>
        <v>83021.62</v>
      </c>
      <c r="M45" s="25">
        <f>0</f>
        <v>0</v>
      </c>
      <c r="N45" s="25">
        <f>0</f>
        <v>0</v>
      </c>
      <c r="O45" s="25">
        <f>0</f>
        <v>0</v>
      </c>
      <c r="P45" s="25">
        <f>0</f>
        <v>0</v>
      </c>
      <c r="Q45" s="25">
        <f>0</f>
        <v>0</v>
      </c>
    </row>
    <row r="46" spans="1:17" ht="24" customHeight="1">
      <c r="A46" s="20" t="s">
        <v>33</v>
      </c>
      <c r="B46" s="25">
        <f>359614856.45</f>
        <v>359614856.45</v>
      </c>
      <c r="C46" s="25">
        <f>359614856.45</f>
        <v>359614856.45</v>
      </c>
      <c r="D46" s="25">
        <f>311479089.85</f>
        <v>311479089.85</v>
      </c>
      <c r="E46" s="25">
        <f>49190.05</f>
        <v>49190.05</v>
      </c>
      <c r="F46" s="25">
        <f>12842.46</f>
        <v>12842.46</v>
      </c>
      <c r="G46" s="25">
        <f>311417057.34</f>
        <v>311417057.34</v>
      </c>
      <c r="H46" s="25">
        <f>0</f>
        <v>0</v>
      </c>
      <c r="I46" s="25">
        <f>0</f>
        <v>0</v>
      </c>
      <c r="J46" s="25">
        <f>0</f>
        <v>0</v>
      </c>
      <c r="K46" s="25">
        <f>0</f>
        <v>0</v>
      </c>
      <c r="L46" s="25">
        <f>44416512.87</f>
        <v>44416512.87</v>
      </c>
      <c r="M46" s="25">
        <f>3477708.22</f>
        <v>3477708.22</v>
      </c>
      <c r="N46" s="25">
        <f>241545.51</f>
        <v>241545.51</v>
      </c>
      <c r="O46" s="25">
        <f>0</f>
        <v>0</v>
      </c>
      <c r="P46" s="25">
        <f>0</f>
        <v>0</v>
      </c>
      <c r="Q46" s="25">
        <f>0</f>
        <v>0</v>
      </c>
    </row>
    <row r="47" spans="1:17" ht="30.75" customHeight="1">
      <c r="A47" s="26" t="s">
        <v>43</v>
      </c>
      <c r="B47" s="24">
        <f>5352232661.8</f>
        <v>5352232661.8</v>
      </c>
      <c r="C47" s="24">
        <f>5352052785.84</f>
        <v>5352052785.84</v>
      </c>
      <c r="D47" s="24">
        <f>12595.02</f>
        <v>12595.02</v>
      </c>
      <c r="E47" s="24">
        <f>960</f>
        <v>960</v>
      </c>
      <c r="F47" s="24">
        <f>0</f>
        <v>0</v>
      </c>
      <c r="G47" s="24">
        <f>11635.02</f>
        <v>11635.02</v>
      </c>
      <c r="H47" s="24">
        <f>0</f>
        <v>0</v>
      </c>
      <c r="I47" s="24">
        <f>0</f>
        <v>0</v>
      </c>
      <c r="J47" s="24">
        <f>5351639639.05</f>
        <v>5351639639.05</v>
      </c>
      <c r="K47" s="24">
        <f>0</f>
        <v>0</v>
      </c>
      <c r="L47" s="24">
        <f>392088.14</f>
        <v>392088.14</v>
      </c>
      <c r="M47" s="24">
        <f>8463.63</f>
        <v>8463.63</v>
      </c>
      <c r="N47" s="24">
        <f>0</f>
        <v>0</v>
      </c>
      <c r="O47" s="24">
        <f>179875.96</f>
        <v>179875.96</v>
      </c>
      <c r="P47" s="24">
        <f>179875.96</f>
        <v>179875.96</v>
      </c>
      <c r="Q47" s="24">
        <f>0</f>
        <v>0</v>
      </c>
    </row>
    <row r="48" spans="1:17" ht="24" customHeight="1">
      <c r="A48" s="20" t="s">
        <v>34</v>
      </c>
      <c r="B48" s="25">
        <f>11611.02</f>
        <v>11611.02</v>
      </c>
      <c r="C48" s="25">
        <f>11611.02</f>
        <v>11611.02</v>
      </c>
      <c r="D48" s="25">
        <f>11611.02</f>
        <v>11611.02</v>
      </c>
      <c r="E48" s="25">
        <f>0</f>
        <v>0</v>
      </c>
      <c r="F48" s="25">
        <f>0</f>
        <v>0</v>
      </c>
      <c r="G48" s="25">
        <f>11611.02</f>
        <v>11611.02</v>
      </c>
      <c r="H48" s="25">
        <f>0</f>
        <v>0</v>
      </c>
      <c r="I48" s="25">
        <f>0</f>
        <v>0</v>
      </c>
      <c r="J48" s="25">
        <f>0</f>
        <v>0</v>
      </c>
      <c r="K48" s="25">
        <f>0</f>
        <v>0</v>
      </c>
      <c r="L48" s="25">
        <f>0</f>
        <v>0</v>
      </c>
      <c r="M48" s="25">
        <f>0</f>
        <v>0</v>
      </c>
      <c r="N48" s="25">
        <f>0</f>
        <v>0</v>
      </c>
      <c r="O48" s="25">
        <f>0</f>
        <v>0</v>
      </c>
      <c r="P48" s="25">
        <f>0</f>
        <v>0</v>
      </c>
      <c r="Q48" s="25">
        <f>0</f>
        <v>0</v>
      </c>
    </row>
    <row r="49" spans="1:17" ht="24" customHeight="1">
      <c r="A49" s="20" t="s">
        <v>35</v>
      </c>
      <c r="B49" s="25">
        <f>5196558660.01</f>
        <v>5196558660.01</v>
      </c>
      <c r="C49" s="25">
        <f>5196558660.01</f>
        <v>5196558660.01</v>
      </c>
      <c r="D49" s="25">
        <f>984</f>
        <v>984</v>
      </c>
      <c r="E49" s="25">
        <f>960</f>
        <v>960</v>
      </c>
      <c r="F49" s="25">
        <f>0</f>
        <v>0</v>
      </c>
      <c r="G49" s="25">
        <f>24</f>
        <v>24</v>
      </c>
      <c r="H49" s="25">
        <f>0</f>
        <v>0</v>
      </c>
      <c r="I49" s="25">
        <f>0</f>
        <v>0</v>
      </c>
      <c r="J49" s="25">
        <f>5196163426.48</f>
        <v>5196163426.48</v>
      </c>
      <c r="K49" s="25">
        <f>0</f>
        <v>0</v>
      </c>
      <c r="L49" s="25">
        <f>385785.9</f>
        <v>385785.9</v>
      </c>
      <c r="M49" s="25">
        <f>8463.63</f>
        <v>8463.63</v>
      </c>
      <c r="N49" s="25">
        <f>0</f>
        <v>0</v>
      </c>
      <c r="O49" s="25">
        <f>0</f>
        <v>0</v>
      </c>
      <c r="P49" s="25">
        <f>0</f>
        <v>0</v>
      </c>
      <c r="Q49" s="25">
        <f>0</f>
        <v>0</v>
      </c>
    </row>
    <row r="50" spans="1:17" ht="24" customHeight="1">
      <c r="A50" s="20" t="s">
        <v>36</v>
      </c>
      <c r="B50" s="25">
        <f>155662390.77</f>
        <v>155662390.77</v>
      </c>
      <c r="C50" s="25">
        <f>155482514.81</f>
        <v>155482514.81</v>
      </c>
      <c r="D50" s="25">
        <f>0</f>
        <v>0</v>
      </c>
      <c r="E50" s="25">
        <f>0</f>
        <v>0</v>
      </c>
      <c r="F50" s="25">
        <f>0</f>
        <v>0</v>
      </c>
      <c r="G50" s="25">
        <f>0</f>
        <v>0</v>
      </c>
      <c r="H50" s="25">
        <f>0</f>
        <v>0</v>
      </c>
      <c r="I50" s="25">
        <f>0</f>
        <v>0</v>
      </c>
      <c r="J50" s="25">
        <f>155476212.57</f>
        <v>155476212.57</v>
      </c>
      <c r="K50" s="25">
        <f>0</f>
        <v>0</v>
      </c>
      <c r="L50" s="25">
        <f>6302.24</f>
        <v>6302.24</v>
      </c>
      <c r="M50" s="25">
        <f>0</f>
        <v>0</v>
      </c>
      <c r="N50" s="25">
        <f>0</f>
        <v>0</v>
      </c>
      <c r="O50" s="25">
        <f>179875.96</f>
        <v>179875.96</v>
      </c>
      <c r="P50" s="25">
        <f>179875.96</f>
        <v>179875.96</v>
      </c>
      <c r="Q50" s="25">
        <f>0</f>
        <v>0</v>
      </c>
    </row>
    <row r="51" spans="1:17" ht="30.75" customHeight="1">
      <c r="A51" s="26" t="s">
        <v>44</v>
      </c>
      <c r="B51" s="24">
        <f>1876259822.45</f>
        <v>1876259822.45</v>
      </c>
      <c r="C51" s="24">
        <f>1873804316.52</f>
        <v>1873804316.52</v>
      </c>
      <c r="D51" s="24">
        <f>17910573.88</f>
        <v>17910573.88</v>
      </c>
      <c r="E51" s="24">
        <f>22050.44</f>
        <v>22050.44</v>
      </c>
      <c r="F51" s="24">
        <f>570708.89</f>
        <v>570708.89</v>
      </c>
      <c r="G51" s="24">
        <f>17317814.55</f>
        <v>17317814.55</v>
      </c>
      <c r="H51" s="24">
        <f>0</f>
        <v>0</v>
      </c>
      <c r="I51" s="24">
        <f>0</f>
        <v>0</v>
      </c>
      <c r="J51" s="24">
        <f>23565.91</f>
        <v>23565.91</v>
      </c>
      <c r="K51" s="24">
        <f>17059523.14</f>
        <v>17059523.14</v>
      </c>
      <c r="L51" s="24">
        <f>1541054172.09</f>
        <v>1541054172.09</v>
      </c>
      <c r="M51" s="24">
        <f>283146981.27</f>
        <v>283146981.27</v>
      </c>
      <c r="N51" s="24">
        <f>14609500.23</f>
        <v>14609500.23</v>
      </c>
      <c r="O51" s="24">
        <f>2455505.93</f>
        <v>2455505.93</v>
      </c>
      <c r="P51" s="24">
        <f>1811878.01</f>
        <v>1811878.01</v>
      </c>
      <c r="Q51" s="24">
        <f>643627.92</f>
        <v>643627.92</v>
      </c>
    </row>
    <row r="52" spans="1:17" ht="30" customHeight="1">
      <c r="A52" s="20" t="s">
        <v>37</v>
      </c>
      <c r="B52" s="25">
        <f>50123765.21</f>
        <v>50123765.21</v>
      </c>
      <c r="C52" s="25">
        <f>50116457.59</f>
        <v>50116457.59</v>
      </c>
      <c r="D52" s="25">
        <f>134721.38</f>
        <v>134721.38</v>
      </c>
      <c r="E52" s="25">
        <f>141.35</f>
        <v>141.35</v>
      </c>
      <c r="F52" s="25">
        <f>632.57</f>
        <v>632.57</v>
      </c>
      <c r="G52" s="25">
        <f>133947.46</f>
        <v>133947.46</v>
      </c>
      <c r="H52" s="25">
        <f>0</f>
        <v>0</v>
      </c>
      <c r="I52" s="25">
        <f>0</f>
        <v>0</v>
      </c>
      <c r="J52" s="25">
        <f>0</f>
        <v>0</v>
      </c>
      <c r="K52" s="25">
        <f>2986.66</f>
        <v>2986.66</v>
      </c>
      <c r="L52" s="25">
        <f>42373953.95</f>
        <v>42373953.95</v>
      </c>
      <c r="M52" s="25">
        <f>6996718.38</f>
        <v>6996718.38</v>
      </c>
      <c r="N52" s="25">
        <f>608077.22</f>
        <v>608077.22</v>
      </c>
      <c r="O52" s="25">
        <f>7307.62</f>
        <v>7307.62</v>
      </c>
      <c r="P52" s="25">
        <f>7307.62</f>
        <v>7307.62</v>
      </c>
      <c r="Q52" s="25">
        <f>0</f>
        <v>0</v>
      </c>
    </row>
    <row r="53" spans="1:17" ht="24" customHeight="1">
      <c r="A53" s="20" t="s">
        <v>38</v>
      </c>
      <c r="B53" s="25">
        <f>1826136057.24</f>
        <v>1826136057.24</v>
      </c>
      <c r="C53" s="25">
        <f>1823687858.93</f>
        <v>1823687858.93</v>
      </c>
      <c r="D53" s="25">
        <f>17775852.5</f>
        <v>17775852.5</v>
      </c>
      <c r="E53" s="25">
        <f>21909.09</f>
        <v>21909.09</v>
      </c>
      <c r="F53" s="25">
        <f>570076.32</f>
        <v>570076.32</v>
      </c>
      <c r="G53" s="25">
        <f>17183867.09</f>
        <v>17183867.09</v>
      </c>
      <c r="H53" s="25">
        <f>0</f>
        <v>0</v>
      </c>
      <c r="I53" s="25">
        <f>0</f>
        <v>0</v>
      </c>
      <c r="J53" s="25">
        <f>23565.91</f>
        <v>23565.91</v>
      </c>
      <c r="K53" s="25">
        <f>17056536.48</f>
        <v>17056536.48</v>
      </c>
      <c r="L53" s="25">
        <f>1498680218.14</f>
        <v>1498680218.14</v>
      </c>
      <c r="M53" s="25">
        <f>276150262.89</f>
        <v>276150262.89</v>
      </c>
      <c r="N53" s="25">
        <f>14001423.01</f>
        <v>14001423.01</v>
      </c>
      <c r="O53" s="25">
        <f>2448198.31</f>
        <v>2448198.31</v>
      </c>
      <c r="P53" s="25">
        <f>1804570.39</f>
        <v>1804570.39</v>
      </c>
      <c r="Q53" s="25">
        <f>643627.92</f>
        <v>643627.92</v>
      </c>
    </row>
    <row r="54" spans="1:17" ht="30.75" customHeight="1">
      <c r="A54" s="26" t="s">
        <v>45</v>
      </c>
      <c r="B54" s="24">
        <f>944959809.94</f>
        <v>944959809.94</v>
      </c>
      <c r="C54" s="24">
        <f>944957707.55</f>
        <v>944957707.55</v>
      </c>
      <c r="D54" s="24">
        <f>155865028.32</f>
        <v>155865028.32</v>
      </c>
      <c r="E54" s="24">
        <f>56524428.77</f>
        <v>56524428.77</v>
      </c>
      <c r="F54" s="24">
        <f>1234328.08</f>
        <v>1234328.08</v>
      </c>
      <c r="G54" s="24">
        <f>98017386.1</f>
        <v>98017386.1</v>
      </c>
      <c r="H54" s="24">
        <f>88885.37</f>
        <v>88885.37</v>
      </c>
      <c r="I54" s="24">
        <f>0</f>
        <v>0</v>
      </c>
      <c r="J54" s="24">
        <f>131638.29</f>
        <v>131638.29</v>
      </c>
      <c r="K54" s="24">
        <f>499179.19</f>
        <v>499179.19</v>
      </c>
      <c r="L54" s="24">
        <f>623363371.14</f>
        <v>623363371.14</v>
      </c>
      <c r="M54" s="24">
        <f>136906178.59</f>
        <v>136906178.59</v>
      </c>
      <c r="N54" s="24">
        <f>28192312.02</f>
        <v>28192312.02</v>
      </c>
      <c r="O54" s="24">
        <f>2102.39</f>
        <v>2102.39</v>
      </c>
      <c r="P54" s="24">
        <f>2102.39</f>
        <v>2102.39</v>
      </c>
      <c r="Q54" s="24">
        <f>0</f>
        <v>0</v>
      </c>
    </row>
    <row r="55" spans="1:17" ht="30" customHeight="1">
      <c r="A55" s="20" t="s">
        <v>39</v>
      </c>
      <c r="B55" s="25">
        <f>45223204.33</f>
        <v>45223204.33</v>
      </c>
      <c r="C55" s="25">
        <f>45222948.74</f>
        <v>45222948.74</v>
      </c>
      <c r="D55" s="25">
        <f>10365299.9</f>
        <v>10365299.9</v>
      </c>
      <c r="E55" s="25">
        <f>4089668.51</f>
        <v>4089668.51</v>
      </c>
      <c r="F55" s="25">
        <f>156295.95</f>
        <v>156295.95</v>
      </c>
      <c r="G55" s="25">
        <f>6119335.44</f>
        <v>6119335.44</v>
      </c>
      <c r="H55" s="25">
        <f>0</f>
        <v>0</v>
      </c>
      <c r="I55" s="25">
        <f>0</f>
        <v>0</v>
      </c>
      <c r="J55" s="25">
        <f>1244.15</f>
        <v>1244.15</v>
      </c>
      <c r="K55" s="25">
        <f>340557.62</f>
        <v>340557.62</v>
      </c>
      <c r="L55" s="25">
        <f>29881421.44</f>
        <v>29881421.44</v>
      </c>
      <c r="M55" s="25">
        <f>4526646.33</f>
        <v>4526646.33</v>
      </c>
      <c r="N55" s="25">
        <f>107779.3</f>
        <v>107779.3</v>
      </c>
      <c r="O55" s="25">
        <f>255.59</f>
        <v>255.59</v>
      </c>
      <c r="P55" s="25">
        <f>255.59</f>
        <v>255.59</v>
      </c>
      <c r="Q55" s="25">
        <f>0</f>
        <v>0</v>
      </c>
    </row>
    <row r="56" spans="1:17" ht="33" customHeight="1">
      <c r="A56" s="20" t="s">
        <v>81</v>
      </c>
      <c r="B56" s="25">
        <f>12215730.61</f>
        <v>12215730.61</v>
      </c>
      <c r="C56" s="25">
        <f>12215730.61</f>
        <v>12215730.61</v>
      </c>
      <c r="D56" s="25">
        <f>12215730.61</f>
        <v>12215730.61</v>
      </c>
      <c r="E56" s="25">
        <f>12214563.19</f>
        <v>12214563.19</v>
      </c>
      <c r="F56" s="25">
        <f>0</f>
        <v>0</v>
      </c>
      <c r="G56" s="25">
        <f>1045</f>
        <v>1045</v>
      </c>
      <c r="H56" s="25">
        <f>122.42</f>
        <v>122.42</v>
      </c>
      <c r="I56" s="25">
        <f>0</f>
        <v>0</v>
      </c>
      <c r="J56" s="25">
        <f>0</f>
        <v>0</v>
      </c>
      <c r="K56" s="25">
        <f>0</f>
        <v>0</v>
      </c>
      <c r="L56" s="25">
        <f>0</f>
        <v>0</v>
      </c>
      <c r="M56" s="25">
        <f>0</f>
        <v>0</v>
      </c>
      <c r="N56" s="25">
        <f>0</f>
        <v>0</v>
      </c>
      <c r="O56" s="25">
        <f>0</f>
        <v>0</v>
      </c>
      <c r="P56" s="25">
        <f>0</f>
        <v>0</v>
      </c>
      <c r="Q56" s="25">
        <f>0</f>
        <v>0</v>
      </c>
    </row>
    <row r="57" spans="1:17" ht="33" customHeight="1">
      <c r="A57" s="20" t="s">
        <v>40</v>
      </c>
      <c r="B57" s="25">
        <f>887520875</f>
        <v>887520875</v>
      </c>
      <c r="C57" s="25">
        <f>887519028.2</f>
        <v>887519028.2</v>
      </c>
      <c r="D57" s="25">
        <f>133283997.81</f>
        <v>133283997.81</v>
      </c>
      <c r="E57" s="25">
        <f>40220197.07</f>
        <v>40220197.07</v>
      </c>
      <c r="F57" s="25">
        <f>1078032.13</f>
        <v>1078032.13</v>
      </c>
      <c r="G57" s="25">
        <f>91897005.66</f>
        <v>91897005.66</v>
      </c>
      <c r="H57" s="25">
        <f>88762.95</f>
        <v>88762.95</v>
      </c>
      <c r="I57" s="25">
        <f>0</f>
        <v>0</v>
      </c>
      <c r="J57" s="25">
        <f>130394.14</f>
        <v>130394.14</v>
      </c>
      <c r="K57" s="25">
        <f>158621.57</f>
        <v>158621.57</v>
      </c>
      <c r="L57" s="25">
        <f>593481949.7</f>
        <v>593481949.7</v>
      </c>
      <c r="M57" s="25">
        <f>132379532.26</f>
        <v>132379532.26</v>
      </c>
      <c r="N57" s="25">
        <f>28084532.72</f>
        <v>28084532.72</v>
      </c>
      <c r="O57" s="25">
        <f>1846.8</f>
        <v>1846.8</v>
      </c>
      <c r="P57" s="25">
        <f>1846.8</f>
        <v>1846.8</v>
      </c>
      <c r="Q57" s="25">
        <f>0</f>
        <v>0</v>
      </c>
    </row>
    <row r="67" spans="1:13" ht="67.5" customHeight="1">
      <c r="A67" s="37" t="str">
        <f>CONCATENATE("Informacja z wykonania budżetów województw za  ",$C$94," ",$B$95," roku    ",$B$97,"")</f>
        <v>Informacja z wykonania budżetów województw za  IV Kwartały 2021 roku    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1" t="s">
        <v>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70" spans="2:12" ht="13.5" customHeight="1">
      <c r="B70" s="67" t="s">
        <v>0</v>
      </c>
      <c r="C70" s="68"/>
      <c r="D70" s="68"/>
      <c r="E70" s="69"/>
      <c r="F70" s="57" t="s">
        <v>71</v>
      </c>
      <c r="G70" s="32" t="s">
        <v>77</v>
      </c>
      <c r="H70" s="61"/>
      <c r="I70" s="61"/>
      <c r="J70" s="61"/>
      <c r="K70" s="61"/>
      <c r="L70" s="62"/>
    </row>
    <row r="71" spans="2:12" ht="13.5" customHeight="1">
      <c r="B71" s="70"/>
      <c r="C71" s="71"/>
      <c r="D71" s="71"/>
      <c r="E71" s="72"/>
      <c r="F71" s="58"/>
      <c r="G71" s="60" t="s">
        <v>72</v>
      </c>
      <c r="H71" s="31" t="s">
        <v>69</v>
      </c>
      <c r="I71" s="31" t="s">
        <v>70</v>
      </c>
      <c r="J71" s="31" t="s">
        <v>73</v>
      </c>
      <c r="K71" s="31" t="s">
        <v>74</v>
      </c>
      <c r="L71" s="35" t="s">
        <v>75</v>
      </c>
    </row>
    <row r="72" spans="2:12" ht="13.5" customHeight="1">
      <c r="B72" s="70"/>
      <c r="C72" s="71"/>
      <c r="D72" s="71"/>
      <c r="E72" s="72"/>
      <c r="F72" s="58"/>
      <c r="G72" s="60"/>
      <c r="H72" s="31"/>
      <c r="I72" s="31"/>
      <c r="J72" s="31"/>
      <c r="K72" s="31"/>
      <c r="L72" s="35"/>
    </row>
    <row r="73" spans="2:12" ht="11.25" customHeight="1">
      <c r="B73" s="70"/>
      <c r="C73" s="71"/>
      <c r="D73" s="71"/>
      <c r="E73" s="72"/>
      <c r="F73" s="58"/>
      <c r="G73" s="60"/>
      <c r="H73" s="31"/>
      <c r="I73" s="31"/>
      <c r="J73" s="31"/>
      <c r="K73" s="31"/>
      <c r="L73" s="35"/>
    </row>
    <row r="74" spans="2:12" ht="11.25" customHeight="1">
      <c r="B74" s="73"/>
      <c r="C74" s="74"/>
      <c r="D74" s="74"/>
      <c r="E74" s="75"/>
      <c r="F74" s="59"/>
      <c r="G74" s="60"/>
      <c r="H74" s="31"/>
      <c r="I74" s="31"/>
      <c r="J74" s="31"/>
      <c r="K74" s="31"/>
      <c r="L74" s="35"/>
    </row>
    <row r="75" spans="2:12" ht="11.25" customHeight="1">
      <c r="B75" s="31">
        <v>1</v>
      </c>
      <c r="C75" s="31"/>
      <c r="D75" s="31"/>
      <c r="E75" s="31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</row>
    <row r="76" spans="2:12" ht="13.5" customHeight="1">
      <c r="B76" s="31"/>
      <c r="C76" s="31"/>
      <c r="D76" s="31"/>
      <c r="E76" s="31"/>
      <c r="F76" s="32" t="s">
        <v>79</v>
      </c>
      <c r="G76" s="33"/>
      <c r="H76" s="33"/>
      <c r="I76" s="33"/>
      <c r="J76" s="33"/>
      <c r="K76" s="33"/>
      <c r="L76" s="34"/>
    </row>
    <row r="77" spans="2:12" ht="33.75" customHeight="1">
      <c r="B77" s="54" t="s">
        <v>56</v>
      </c>
      <c r="C77" s="55"/>
      <c r="D77" s="55"/>
      <c r="E77" s="56"/>
      <c r="F77" s="27">
        <f>1312472163.22</f>
        <v>1312472163.22</v>
      </c>
      <c r="G77" s="27">
        <f>194921441.46</f>
        <v>194921441.46</v>
      </c>
      <c r="H77" s="27">
        <f>0</f>
        <v>0</v>
      </c>
      <c r="I77" s="27">
        <f>2208095.68</f>
        <v>2208095.68</v>
      </c>
      <c r="J77" s="27">
        <f>192713345.78</f>
        <v>192713345.78</v>
      </c>
      <c r="K77" s="27">
        <f>0</f>
        <v>0</v>
      </c>
      <c r="L77" s="27">
        <f>1117550721.76</f>
        <v>1117550721.76</v>
      </c>
    </row>
    <row r="78" spans="2:12" ht="33.75" customHeight="1">
      <c r="B78" s="54" t="s">
        <v>57</v>
      </c>
      <c r="C78" s="55"/>
      <c r="D78" s="55"/>
      <c r="E78" s="56"/>
      <c r="F78" s="27">
        <f>0</f>
        <v>0</v>
      </c>
      <c r="G78" s="27">
        <f>0</f>
        <v>0</v>
      </c>
      <c r="H78" s="27">
        <f>0</f>
        <v>0</v>
      </c>
      <c r="I78" s="27">
        <f>0</f>
        <v>0</v>
      </c>
      <c r="J78" s="27">
        <f>0</f>
        <v>0</v>
      </c>
      <c r="K78" s="27">
        <f>0</f>
        <v>0</v>
      </c>
      <c r="L78" s="27">
        <f>0</f>
        <v>0</v>
      </c>
    </row>
    <row r="79" spans="2:12" ht="33.75" customHeight="1">
      <c r="B79" s="54" t="s">
        <v>58</v>
      </c>
      <c r="C79" s="55"/>
      <c r="D79" s="55"/>
      <c r="E79" s="56"/>
      <c r="F79" s="27">
        <f>86356000</f>
        <v>86356000</v>
      </c>
      <c r="G79" s="27">
        <f>20000000</f>
        <v>20000000</v>
      </c>
      <c r="H79" s="27">
        <f>0</f>
        <v>0</v>
      </c>
      <c r="I79" s="27">
        <f>0</f>
        <v>0</v>
      </c>
      <c r="J79" s="27">
        <f>20000000</f>
        <v>20000000</v>
      </c>
      <c r="K79" s="27">
        <f>0</f>
        <v>0</v>
      </c>
      <c r="L79" s="27">
        <f>66356000</f>
        <v>66356000</v>
      </c>
    </row>
    <row r="80" spans="2:12" ht="22.5" customHeight="1">
      <c r="B80" s="54" t="s">
        <v>59</v>
      </c>
      <c r="C80" s="55"/>
      <c r="D80" s="55"/>
      <c r="E80" s="56"/>
      <c r="F80" s="27">
        <f>26012827.23</f>
        <v>26012827.23</v>
      </c>
      <c r="G80" s="27">
        <f>21724446.21</f>
        <v>21724446.21</v>
      </c>
      <c r="H80" s="27">
        <f>0</f>
        <v>0</v>
      </c>
      <c r="I80" s="27">
        <f>0</f>
        <v>0</v>
      </c>
      <c r="J80" s="27">
        <f>21724446.21</f>
        <v>21724446.21</v>
      </c>
      <c r="K80" s="27">
        <f>0</f>
        <v>0</v>
      </c>
      <c r="L80" s="27">
        <f>4288381.02</f>
        <v>4288381.02</v>
      </c>
    </row>
    <row r="81" spans="2:12" ht="33.75" customHeight="1">
      <c r="B81" s="54" t="s">
        <v>60</v>
      </c>
      <c r="C81" s="55"/>
      <c r="D81" s="55"/>
      <c r="E81" s="56"/>
      <c r="F81" s="27">
        <f>2091946.1</f>
        <v>2091946.1</v>
      </c>
      <c r="G81" s="27">
        <f>2007978.99</f>
        <v>2007978.99</v>
      </c>
      <c r="H81" s="27">
        <f>0</f>
        <v>0</v>
      </c>
      <c r="I81" s="27">
        <f>0</f>
        <v>0</v>
      </c>
      <c r="J81" s="27">
        <f>2007978.99</f>
        <v>2007978.99</v>
      </c>
      <c r="K81" s="27">
        <f>0</f>
        <v>0</v>
      </c>
      <c r="L81" s="27">
        <f>83967.11</f>
        <v>83967.11</v>
      </c>
    </row>
    <row r="82" spans="2:12" ht="33.75" customHeight="1">
      <c r="B82" s="54" t="s">
        <v>61</v>
      </c>
      <c r="C82" s="55"/>
      <c r="D82" s="55"/>
      <c r="E82" s="56"/>
      <c r="F82" s="27">
        <f>14636280.6</f>
        <v>14636280.6</v>
      </c>
      <c r="G82" s="27">
        <f>11969614</f>
        <v>11969614</v>
      </c>
      <c r="H82" s="27">
        <f>0</f>
        <v>0</v>
      </c>
      <c r="I82" s="27">
        <f>0</f>
        <v>0</v>
      </c>
      <c r="J82" s="27">
        <f>11969614</f>
        <v>11969614</v>
      </c>
      <c r="K82" s="27">
        <f>0</f>
        <v>0</v>
      </c>
      <c r="L82" s="27">
        <f>2666666.6</f>
        <v>2666666.6</v>
      </c>
    </row>
    <row r="83" spans="2:12" ht="33" customHeight="1">
      <c r="B83" s="54" t="s">
        <v>62</v>
      </c>
      <c r="C83" s="55"/>
      <c r="D83" s="55"/>
      <c r="E83" s="56"/>
      <c r="F83" s="27">
        <f>0</f>
        <v>0</v>
      </c>
      <c r="G83" s="27">
        <f>0</f>
        <v>0</v>
      </c>
      <c r="H83" s="27">
        <f>0</f>
        <v>0</v>
      </c>
      <c r="I83" s="27">
        <f>0</f>
        <v>0</v>
      </c>
      <c r="J83" s="27">
        <f>0</f>
        <v>0</v>
      </c>
      <c r="K83" s="27">
        <f>0</f>
        <v>0</v>
      </c>
      <c r="L83" s="27">
        <f>0</f>
        <v>0</v>
      </c>
    </row>
    <row r="86" spans="1:13" ht="60" customHeight="1">
      <c r="A86" s="37" t="str">
        <f>CONCATENATE("Informacja z wykonania budżetów województw za  ",$C$94," ",$B$95," roku    ",$B$97,"")</f>
        <v>Informacja z wykonania budżetów województw za  IV Kwartały 2021 roku    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32"/>
      <c r="D88" s="61"/>
      <c r="E88" s="61"/>
      <c r="F88" s="62"/>
      <c r="G88" s="32" t="s">
        <v>3</v>
      </c>
      <c r="H88" s="62"/>
      <c r="I88" s="32" t="s">
        <v>4</v>
      </c>
      <c r="J88" s="62"/>
      <c r="K88" s="5"/>
    </row>
    <row r="89" spans="2:11" ht="18" customHeight="1">
      <c r="B89" s="6"/>
      <c r="C89" s="54" t="s">
        <v>5</v>
      </c>
      <c r="D89" s="55"/>
      <c r="E89" s="55"/>
      <c r="F89" s="56"/>
      <c r="G89" s="63">
        <f>16</f>
        <v>16</v>
      </c>
      <c r="H89" s="64"/>
      <c r="I89" s="65">
        <f>2024484621.41</f>
        <v>2024484621.41</v>
      </c>
      <c r="J89" s="66"/>
      <c r="K89" s="7"/>
    </row>
    <row r="90" spans="2:11" ht="22.5" customHeight="1">
      <c r="B90" s="6"/>
      <c r="C90" s="54" t="s">
        <v>6</v>
      </c>
      <c r="D90" s="55"/>
      <c r="E90" s="55"/>
      <c r="F90" s="56"/>
      <c r="G90" s="63">
        <f>0</f>
        <v>0</v>
      </c>
      <c r="H90" s="64"/>
      <c r="I90" s="65">
        <f>0</f>
        <v>0</v>
      </c>
      <c r="J90" s="66"/>
      <c r="K90" s="7"/>
    </row>
    <row r="91" spans="2:11" ht="21" customHeight="1">
      <c r="B91" s="6"/>
      <c r="C91" s="54" t="s">
        <v>7</v>
      </c>
      <c r="D91" s="55"/>
      <c r="E91" s="55"/>
      <c r="F91" s="56"/>
      <c r="G91" s="63">
        <f>0</f>
        <v>0</v>
      </c>
      <c r="H91" s="64"/>
      <c r="I91" s="65">
        <f>0</f>
        <v>0</v>
      </c>
      <c r="J91" s="66"/>
      <c r="K91" s="7"/>
    </row>
    <row r="94" spans="1:3" ht="13.5" customHeight="1">
      <c r="A94" s="8" t="s">
        <v>8</v>
      </c>
      <c r="B94" s="8">
        <f>4</f>
        <v>4</v>
      </c>
      <c r="C94" s="8" t="str">
        <f>IF(B94=1,"I Kwartał",IF(B94=2,"II Kwartały",IF(B94=3,"III Kwartały",IF(B94=4,"IV Kwartały","-"))))</f>
        <v>IV Kwartały</v>
      </c>
    </row>
    <row r="95" spans="1:3" ht="13.5" customHeight="1">
      <c r="A95" s="8" t="s">
        <v>9</v>
      </c>
      <c r="B95" s="8">
        <f>2021</f>
        <v>2021</v>
      </c>
      <c r="C95" s="9"/>
    </row>
    <row r="96" spans="1:3" ht="13.5" customHeight="1">
      <c r="A96" s="8" t="s">
        <v>10</v>
      </c>
      <c r="B96" s="10" t="str">
        <f>"Mar 21 2022 12:00AM"</f>
        <v>Mar 21 2022 12:00AM</v>
      </c>
      <c r="C96" s="9"/>
    </row>
    <row r="97" spans="1:2" ht="13.5" customHeight="1">
      <c r="A97" s="16" t="s">
        <v>78</v>
      </c>
      <c r="B97" s="10">
        <f>""</f>
      </c>
    </row>
  </sheetData>
  <sheetProtection/>
  <mergeCells count="79">
    <mergeCell ref="O6:Q6"/>
    <mergeCell ref="O7:O10"/>
    <mergeCell ref="A67:M67"/>
    <mergeCell ref="L34:L37"/>
    <mergeCell ref="P34:P37"/>
    <mergeCell ref="Q34:Q37"/>
    <mergeCell ref="N34:N37"/>
    <mergeCell ref="O34:O37"/>
    <mergeCell ref="D34:D37"/>
    <mergeCell ref="H7:H10"/>
    <mergeCell ref="B82:E82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1:E81"/>
    <mergeCell ref="B78:E78"/>
    <mergeCell ref="M34:M37"/>
    <mergeCell ref="B77:E77"/>
    <mergeCell ref="F70:F74"/>
    <mergeCell ref="G71:G74"/>
    <mergeCell ref="G70:L70"/>
    <mergeCell ref="H71:H74"/>
    <mergeCell ref="I71:I74"/>
    <mergeCell ref="J71:J74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K71:K74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J34:J37"/>
    <mergeCell ref="A33:A37"/>
    <mergeCell ref="C34:C37"/>
    <mergeCell ref="E34:E37"/>
    <mergeCell ref="B33:B37"/>
    <mergeCell ref="B12:Q12"/>
    <mergeCell ref="B39:Q39"/>
    <mergeCell ref="B76:E76"/>
    <mergeCell ref="F76:L76"/>
    <mergeCell ref="L71:L74"/>
    <mergeCell ref="F34:F37"/>
    <mergeCell ref="G34:G37"/>
    <mergeCell ref="H34:H37"/>
    <mergeCell ref="K34:K37"/>
    <mergeCell ref="I34:I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2009-11-20T13:14:31Z</cp:lastPrinted>
  <dcterms:created xsi:type="dcterms:W3CDTF">2001-05-17T08:58:03Z</dcterms:created>
  <dcterms:modified xsi:type="dcterms:W3CDTF">2022-04-05T07:14:54Z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2022-04-05T09:14:50.0042106+02:00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GRN-40f9d8b7-0260-4558-bd74-587f3b497dce</vt:lpwstr>
  </property>
  <property fmtid="{D5CDD505-2E9C-101B-9397-08002B2CF9AE}" pid="7" name="MFHash">
    <vt:lpwstr>CIga4cZ5aFpW8zUkF6gWHNpO/6dyAjGQZ/Ic0sscgH8=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