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doch_wyd!$A$1:$M$119</definedName>
  </definedNames>
  <calcPr calcId="152511"/>
</workbook>
</file>

<file path=xl/calcChain.xml><?xml version="1.0" encoding="utf-8"?>
<calcChain xmlns="http://schemas.openxmlformats.org/spreadsheetml/2006/main">
  <c r="C120" i="4" l="1"/>
  <c r="C119" i="4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79" i="4"/>
  <c r="H79" i="4"/>
  <c r="G79" i="4"/>
  <c r="F79" i="4"/>
  <c r="E79" i="4"/>
  <c r="D79" i="4"/>
  <c r="C79" i="4"/>
  <c r="I78" i="4"/>
  <c r="H78" i="4"/>
  <c r="G78" i="4"/>
  <c r="F78" i="4"/>
  <c r="E78" i="4"/>
  <c r="D78" i="4"/>
  <c r="C78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8" i="4"/>
  <c r="H68" i="4"/>
  <c r="G68" i="4"/>
  <c r="F68" i="4"/>
  <c r="E68" i="4"/>
  <c r="D68" i="4"/>
  <c r="C68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64" i="4"/>
  <c r="H64" i="4"/>
  <c r="G64" i="4"/>
  <c r="F64" i="4"/>
  <c r="E64" i="4"/>
  <c r="D64" i="4"/>
  <c r="C64" i="4"/>
  <c r="I54" i="4"/>
  <c r="H54" i="4"/>
  <c r="G54" i="4"/>
  <c r="F54" i="4"/>
  <c r="E54" i="4"/>
  <c r="D54" i="4"/>
  <c r="C54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C23" i="4" s="1"/>
  <c r="C22" i="4" s="1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J42" i="4"/>
  <c r="D74" i="4"/>
  <c r="J47" i="4"/>
  <c r="J8" i="4"/>
  <c r="J12" i="4"/>
  <c r="J31" i="4"/>
  <c r="J11" i="4"/>
  <c r="J19" i="4"/>
  <c r="J51" i="4"/>
  <c r="J48" i="4"/>
  <c r="J14" i="4"/>
  <c r="J43" i="4"/>
  <c r="J13" i="4"/>
  <c r="J40" i="4"/>
  <c r="J37" i="4"/>
  <c r="J46" i="4"/>
  <c r="J9" i="4"/>
  <c r="J32" i="4"/>
  <c r="J10" i="4"/>
  <c r="J24" i="4"/>
  <c r="J20" i="4"/>
  <c r="J50" i="4"/>
  <c r="J16" i="4"/>
  <c r="J15" i="4"/>
  <c r="J17" i="4"/>
  <c r="J36" i="4"/>
  <c r="J38" i="4"/>
  <c r="J33" i="4"/>
  <c r="J44" i="4"/>
  <c r="J26" i="4"/>
  <c r="J54" i="4"/>
  <c r="J35" i="4"/>
  <c r="J29" i="4"/>
  <c r="J41" i="4"/>
  <c r="J28" i="4"/>
  <c r="J25" i="4"/>
  <c r="J45" i="4"/>
  <c r="J27" i="4"/>
  <c r="J39" i="4"/>
  <c r="J34" i="4"/>
  <c r="D53" i="4"/>
  <c r="D55" i="4" s="1"/>
  <c r="J6" i="4"/>
  <c r="J30" i="4"/>
  <c r="J18" i="4"/>
  <c r="J49" i="4"/>
  <c r="H7" i="4"/>
  <c r="H21" i="4" s="1"/>
  <c r="H53" i="4"/>
  <c r="H55" i="4" s="1"/>
  <c r="K10" i="4"/>
  <c r="K14" i="4"/>
  <c r="K18" i="4"/>
  <c r="E67" i="4"/>
  <c r="E73" i="4"/>
  <c r="I67" i="4"/>
  <c r="I73" i="4"/>
  <c r="K66" i="4"/>
  <c r="K71" i="4"/>
  <c r="E80" i="4"/>
  <c r="I80" i="4"/>
  <c r="K86" i="4"/>
  <c r="K88" i="4"/>
  <c r="K90" i="4"/>
  <c r="K92" i="4"/>
  <c r="K96" i="4"/>
  <c r="K98" i="4"/>
  <c r="K100" i="4"/>
  <c r="K102" i="4"/>
  <c r="E53" i="4"/>
  <c r="E55" i="4"/>
  <c r="E7" i="4"/>
  <c r="E21" i="4"/>
  <c r="I7" i="4"/>
  <c r="I21" i="4"/>
  <c r="I53" i="4"/>
  <c r="I55" i="4"/>
  <c r="K9" i="4"/>
  <c r="K13" i="4"/>
  <c r="K17" i="4"/>
  <c r="K24" i="4"/>
  <c r="K26" i="4"/>
  <c r="K28" i="4"/>
  <c r="K30" i="4"/>
  <c r="K32" i="4"/>
  <c r="K34" i="4"/>
  <c r="K38" i="4"/>
  <c r="K40" i="4"/>
  <c r="K42" i="4"/>
  <c r="K44" i="4"/>
  <c r="K47" i="4"/>
  <c r="C46" i="4"/>
  <c r="K46" i="4"/>
  <c r="K49" i="4"/>
  <c r="K51" i="4"/>
  <c r="F67" i="4"/>
  <c r="F73" i="4"/>
  <c r="K65" i="4"/>
  <c r="K70" i="4"/>
  <c r="F80" i="4"/>
  <c r="K79" i="4"/>
  <c r="J86" i="4"/>
  <c r="J91" i="4"/>
  <c r="J92" i="4"/>
  <c r="J87" i="4"/>
  <c r="J90" i="4"/>
  <c r="J89" i="4"/>
  <c r="J88" i="4"/>
  <c r="J96" i="4"/>
  <c r="J93" i="4"/>
  <c r="F53" i="4"/>
  <c r="F55" i="4" s="1"/>
  <c r="F7" i="4"/>
  <c r="F21" i="4" s="1"/>
  <c r="K8" i="4"/>
  <c r="K12" i="4"/>
  <c r="K16" i="4"/>
  <c r="K20" i="4"/>
  <c r="D23" i="4"/>
  <c r="D22" i="4" s="1"/>
  <c r="D46" i="4"/>
  <c r="K64" i="4"/>
  <c r="C67" i="4"/>
  <c r="G67" i="4"/>
  <c r="G73" i="4" s="1"/>
  <c r="K69" i="4"/>
  <c r="K78" i="4"/>
  <c r="C80" i="4"/>
  <c r="K80" i="4"/>
  <c r="G80" i="4"/>
  <c r="K87" i="4"/>
  <c r="K89" i="4"/>
  <c r="K91" i="4"/>
  <c r="K93" i="4"/>
  <c r="K97" i="4"/>
  <c r="K99" i="4"/>
  <c r="K101" i="4"/>
  <c r="D117" i="4"/>
  <c r="C74" i="4"/>
  <c r="C53" i="4"/>
  <c r="K53" i="4" s="1"/>
  <c r="K6" i="4"/>
  <c r="G7" i="4"/>
  <c r="G21" i="4"/>
  <c r="G53" i="4"/>
  <c r="G55" i="4"/>
  <c r="K11" i="4"/>
  <c r="K15" i="4"/>
  <c r="K19" i="4"/>
  <c r="K25" i="4"/>
  <c r="K27" i="4"/>
  <c r="K29" i="4"/>
  <c r="K31" i="4"/>
  <c r="K33" i="4"/>
  <c r="K35" i="4"/>
  <c r="K37" i="4"/>
  <c r="K39" i="4"/>
  <c r="K41" i="4"/>
  <c r="K43" i="4"/>
  <c r="K45" i="4"/>
  <c r="K48" i="4"/>
  <c r="K50" i="4"/>
  <c r="K54" i="4"/>
  <c r="J68" i="4"/>
  <c r="J65" i="4"/>
  <c r="J69" i="4"/>
  <c r="J72" i="4"/>
  <c r="J70" i="4"/>
  <c r="D67" i="4"/>
  <c r="D73" i="4" s="1"/>
  <c r="J71" i="4"/>
  <c r="J66" i="4"/>
  <c r="J64" i="4"/>
  <c r="J67" i="4"/>
  <c r="H67" i="4"/>
  <c r="H73" i="4" s="1"/>
  <c r="K68" i="4"/>
  <c r="K72" i="4"/>
  <c r="D80" i="4"/>
  <c r="J78" i="4"/>
  <c r="J80" i="4"/>
  <c r="J79" i="4"/>
  <c r="H80" i="4"/>
  <c r="J102" i="4"/>
  <c r="J100" i="4"/>
  <c r="J101" i="4"/>
  <c r="J97" i="4"/>
  <c r="J99" i="4"/>
  <c r="J98" i="4"/>
  <c r="B1" i="4"/>
  <c r="B57" i="4"/>
  <c r="B81" i="4"/>
  <c r="K67" i="4"/>
  <c r="C73" i="4"/>
  <c r="C55" i="4"/>
  <c r="C75" i="4"/>
  <c r="J73" i="4" l="1"/>
  <c r="K73" i="4"/>
  <c r="C7" i="4"/>
  <c r="K36" i="4"/>
  <c r="D7" i="4"/>
  <c r="K7" i="4" s="1"/>
  <c r="J22" i="4"/>
  <c r="K22" i="4"/>
  <c r="J23" i="4"/>
  <c r="K23" i="4"/>
  <c r="C21" i="4"/>
  <c r="J55" i="4"/>
  <c r="D75" i="4"/>
  <c r="L15" i="4"/>
  <c r="K55" i="4"/>
  <c r="J53" i="4"/>
  <c r="D21" i="4" l="1"/>
  <c r="J21" i="4" s="1"/>
  <c r="L13" i="4"/>
  <c r="L17" i="4"/>
  <c r="L16" i="4"/>
  <c r="L8" i="4"/>
  <c r="L20" i="4"/>
  <c r="L14" i="4"/>
  <c r="J7" i="4"/>
  <c r="L18" i="4"/>
  <c r="L12" i="4"/>
  <c r="L9" i="4"/>
  <c r="L10" i="4"/>
  <c r="L7" i="4"/>
  <c r="L11" i="4"/>
  <c r="L19" i="4"/>
  <c r="K21" i="4"/>
  <c r="L21" i="4" l="1"/>
</calcChain>
</file>

<file path=xl/sharedStrings.xml><?xml version="1.0" encoding="utf-8"?>
<sst xmlns="http://schemas.openxmlformats.org/spreadsheetml/2006/main" count="370" uniqueCount="115">
  <si>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</si>
  <si>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</si>
  <si>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</si>
  <si>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</si>
  <si>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</si>
  <si>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</si>
  <si>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</si>
  <si>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</si>
  <si>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</si>
  <si>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</si>
  <si>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</si>
  <si>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</si>
  <si>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</si>
  <si>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</si>
  <si>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</si>
  <si>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</si>
  <si>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</si>
  <si>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</si>
  <si>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</si>
  <si>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</si>
  <si>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</si>
  <si>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</si>
  <si>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</si>
  <si>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</si>
  <si>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</si>
  <si>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</si>
  <si>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</si>
  <si>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</si>
  <si>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</si>
  <si>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</si>
  <si>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</si>
  <si>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</si>
  <si>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</si>
  <si>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</si>
  <si>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</si>
  <si>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</si>
  <si>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</si>
  <si>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</si>
  <si>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</si>
  <si>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</si>
  <si>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</si>
  <si>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</si>
  <si>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</si>
  <si>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</si>
  <si>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</si>
  <si>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</si>
  <si>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</si>
  <si>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</si>
  <si>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</si>
  <si>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</si>
  <si>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</si>
  <si>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</si>
  <si>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</si>
  <si>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</si>
  <si>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</si>
  <si>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</si>
  <si>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</si>
  <si>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</si>
  <si>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</si>
  <si>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</si>
  <si>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</si>
  <si>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</si>
  <si>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</si>
  <si>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</si>
  <si>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</si>
  <si>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</si>
  <si>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</si>
  <si>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</si>
  <si>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</si>
  <si>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</si>
  <si>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</si>
  <si>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</si>
  <si>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</si>
  <si>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</si>
  <si>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</si>
  <si>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</si>
  <si>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</si>
  <si>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</si>
  <si>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</si>
  <si>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</si>
  <si>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</si>
  <si>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</si>
  <si>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</si>
  <si>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</si>
  <si>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wykup papierów wartościowych</t>
  </si>
  <si>
    <t>udzielone pożyczki</t>
  </si>
  <si>
    <t>Dotacje §§ 200 i 620</t>
  </si>
  <si>
    <t>w tym: inwestycyjne § 620</t>
  </si>
  <si>
    <t>Dotacje §§ 205 i 625</t>
  </si>
  <si>
    <t>w tym: inwestycyjne § 625</t>
  </si>
  <si>
    <t>otrzymane ze środków z Funduszu Przeciwdziałania COVID-19 (m.in. z Rządowego Funduszu Inwestycji Lokalnych)</t>
  </si>
  <si>
    <t>wolne środki, o których mowa w art. 217 ust. 2 pkt 6 ustawy o finansach publicznych</t>
  </si>
  <si>
    <t>na finansowanie lub dofinansowanie zadań inwestycyjnych obiektów zabytkowych oraz prac remontowych i konserwatorskich przy zabytkach</t>
  </si>
  <si>
    <t>w tym: inwestycyjne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</si>
  <si>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</si>
  <si>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</si>
  <si>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</si>
  <si>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nadwyżka z lat ubiegłych, pomniejszona o niewykorzystane środki pieniężne, o których mowa w art. 217 ust. 2 pkt 8 ustawy o finansach publicznych</t>
  </si>
  <si>
    <t>Dotacje ogółem 
z tego:</t>
  </si>
  <si>
    <t>spłaty kredytów i pożyczek, wykup papierów wartościowych 
w tym: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</si>
  <si>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</si>
  <si>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Dochody bieżące 
minus 
wydatki bieżące</t>
  </si>
  <si>
    <t>Wydatki ogółem UE 
z tego:</t>
  </si>
  <si>
    <t>kredyty, pożyczki, emisja papierów wartościowych
w tym: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</si>
  <si>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</si>
  <si>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</si>
  <si>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</si>
  <si>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tytuł</t>
  </si>
  <si>
    <t>inne źródła, w tym:</t>
  </si>
  <si>
    <t>środki z lokat dokonanych w latach ubiegłych</t>
  </si>
  <si>
    <t>lokaty na okres wykraczający poza rok budżetowy</t>
  </si>
  <si>
    <t>FINANSOWANIE DEFICYTU (E1+E2+E3+E4+E5+E6+E7+E8)  
z tego:</t>
  </si>
  <si>
    <t>inne cele, w tym:</t>
  </si>
  <si>
    <t>niewykorzystane środki pieniężne o których mowa w art. 217 ust. 2 pkt 8 ustawy o finansach publicznych</t>
  </si>
  <si>
    <t>stan niespłaconych na koniec okresu sprawozdawczego zobowiązań przeznaczonych na cel , o którym mowa w art.. 89 ust. 1 pkt 1 ustawy o finansach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</si>
</sst>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15" fillId="0" borderId="0"/>
  </cellStyleXfs>
  <cellXfs count="132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2"/>
    </xf>
    <xf numFmtId="0" fontId="2" fillId="0" borderId="1" xfId="0" applyFont="1" applyBorder="1"/>
    <xf numFmtId="164" fontId="12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4" fontId="11" fillId="3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164" fontId="12" fillId="4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164" fontId="4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2" fillId="0" borderId="4" xfId="0" applyFont="1" applyBorder="1"/>
    <xf numFmtId="0" fontId="7" fillId="4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4"/>
    </xf>
    <xf numFmtId="0" fontId="4" fillId="5" borderId="1" xfId="0" applyFont="1" applyFill="1" applyBorder="1" applyAlignment="1">
      <alignment horizontal="left" vertical="center" wrapText="1" indent="3"/>
    </xf>
    <xf numFmtId="0" fontId="16" fillId="0" borderId="1" xfId="4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16" fillId="4" borderId="1" xfId="3" applyFont="1" applyFill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2" fillId="0" borderId="3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Dziesiętny" xfId="1" builtinId="3"/>
    <cellStyle name="Dziesiętny 3" xfId="2"/>
    <cellStyle name="Normalny" xfId="0" builtinId="0"/>
    <cellStyle name="Normalny 2" xfId="3"/>
    <cellStyle name="Normalny 2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20"/>
  <sheetViews>
    <sheetView tabSelected="1" topLeftCell="B1" zoomScaleNormal="100" workbookViewId="0">
      <selection activeCell="B3" sqref="B3:B4"/>
    </sheetView>
  </sheetViews>
  <sheetFormatPr defaultRowHeight="12.75" outlineLevelRow="1" outlineLevelCol="1" x14ac:dyDescent="0.2"/>
  <cols>
    <col min="1" max="1" width="3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7" width="13" style="1" customWidth="1" outlineLevel="1"/>
    <col min="8" max="8" width="11.85546875" style="1" customWidth="1" outlineLevel="1"/>
    <col min="9" max="9" width="13" style="1" customWidth="1" outlineLevel="1"/>
    <col min="10" max="10" width="12.7109375" style="1" customWidth="1"/>
    <col min="11" max="11" width="7.42578125" style="1" customWidth="1"/>
    <col min="12" max="13" width="8.140625" style="1" customWidth="1"/>
    <col min="14" max="16384" width="9.140625" style="1"/>
  </cols>
  <sheetData>
    <row r="1" spans="2:13" ht="15" x14ac:dyDescent="0.2">
      <c r="B1" s="91" t="str">
        <f>CONCATENATE("Informacja z wykonania budżetów gmin za ",$D$117," ",$C$118," rok     ",$C$120,"")</f>
        <v xml:space="preserve">Informacja z wykonania budżetów gmin za I Kwartał 2023 rok     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ht="0.75" customHeight="1" x14ac:dyDescent="0.2"/>
    <row r="3" spans="2:13" ht="69" customHeight="1" x14ac:dyDescent="0.2">
      <c r="B3" s="124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24"/>
      <c r="C4" s="121" t="s">
        <v>74</v>
      </c>
      <c r="D4" s="122"/>
      <c r="E4" s="122"/>
      <c r="F4" s="122"/>
      <c r="G4" s="122"/>
      <c r="H4" s="122"/>
      <c r="I4" s="123"/>
      <c r="J4" s="126" t="s">
        <v>4</v>
      </c>
      <c r="K4" s="126"/>
      <c r="L4" s="126"/>
    </row>
    <row r="5" spans="2:13" x14ac:dyDescent="0.2">
      <c r="B5" s="17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2:13" x14ac:dyDescent="0.2">
      <c r="B6" s="84" t="s">
        <v>5</v>
      </c>
      <c r="C6" s="45">
        <f>165904303992.06</f>
        <v>165904303992.06</v>
      </c>
      <c r="D6" s="45">
        <f>41852802053.39</f>
        <v>41852802053.389999</v>
      </c>
      <c r="E6" s="45">
        <f>1036262364.52</f>
        <v>1036262364.52</v>
      </c>
      <c r="F6" s="45">
        <f>197246638.37</f>
        <v>197246638.37</v>
      </c>
      <c r="G6" s="45">
        <f>26507020.1</f>
        <v>26507020.100000001</v>
      </c>
      <c r="H6" s="45">
        <f>59590566.62</f>
        <v>59590566.619999997</v>
      </c>
      <c r="I6" s="45">
        <f>298554.65</f>
        <v>298554.65000000002</v>
      </c>
      <c r="J6" s="46">
        <f t="shared" ref="J6:J55" si="0">IF($D$6=0,"",100*$D6/$D$6)</f>
        <v>100</v>
      </c>
      <c r="K6" s="46">
        <f t="shared" ref="K6:K51" si="1">IF(C6=0,"",100*D6/C6)</f>
        <v>25.227074311099869</v>
      </c>
      <c r="L6" s="46"/>
    </row>
    <row r="7" spans="2:13" ht="25.5" customHeight="1" x14ac:dyDescent="0.2">
      <c r="B7" s="85" t="s">
        <v>58</v>
      </c>
      <c r="C7" s="25">
        <f>C6-C22-C46</f>
        <v>77181782332.440002</v>
      </c>
      <c r="D7" s="25">
        <f>D6-D22-D46</f>
        <v>21303665334.209999</v>
      </c>
      <c r="E7" s="25">
        <f>E6</f>
        <v>1036262364.52</v>
      </c>
      <c r="F7" s="25">
        <f>F6</f>
        <v>197246638.37</v>
      </c>
      <c r="G7" s="25">
        <f>G6</f>
        <v>26507020.100000001</v>
      </c>
      <c r="H7" s="25">
        <f>H6</f>
        <v>59590566.619999997</v>
      </c>
      <c r="I7" s="25">
        <f>I6</f>
        <v>298554.65000000002</v>
      </c>
      <c r="J7" s="34">
        <f t="shared" si="0"/>
        <v>50.901407525913648</v>
      </c>
      <c r="K7" s="34">
        <f t="shared" si="1"/>
        <v>27.601934926107468</v>
      </c>
      <c r="L7" s="34">
        <f t="shared" ref="L7:L21" si="2">IF($D$7=0,"",100*$D7/$D$7)</f>
        <v>100</v>
      </c>
    </row>
    <row r="8" spans="2:13" ht="22.5" customHeight="1" outlineLevel="1" x14ac:dyDescent="0.2">
      <c r="B8" s="54" t="s">
        <v>34</v>
      </c>
      <c r="C8" s="24">
        <f>2277246532</f>
        <v>2277246532</v>
      </c>
      <c r="D8" s="24">
        <f>569308152</f>
        <v>569308152</v>
      </c>
      <c r="E8" s="24">
        <f>0</f>
        <v>0</v>
      </c>
      <c r="F8" s="24">
        <f>0</f>
        <v>0</v>
      </c>
      <c r="G8" s="24">
        <f>0</f>
        <v>0</v>
      </c>
      <c r="H8" s="24">
        <f>0</f>
        <v>0</v>
      </c>
      <c r="I8" s="24">
        <f>0</f>
        <v>0</v>
      </c>
      <c r="J8" s="35">
        <f t="shared" si="0"/>
        <v>1.3602629311981445</v>
      </c>
      <c r="K8" s="35">
        <f t="shared" si="1"/>
        <v>24.999847139958231</v>
      </c>
      <c r="L8" s="35">
        <f t="shared" si="2"/>
        <v>2.6723483638554426</v>
      </c>
    </row>
    <row r="9" spans="2:13" ht="22.5" customHeight="1" outlineLevel="1" x14ac:dyDescent="0.2">
      <c r="B9" s="54" t="s">
        <v>19</v>
      </c>
      <c r="C9" s="24">
        <f>21690190628.19</f>
        <v>21690190628.189999</v>
      </c>
      <c r="D9" s="24">
        <f>5413887297</f>
        <v>5413887297</v>
      </c>
      <c r="E9" s="24">
        <f>0</f>
        <v>0</v>
      </c>
      <c r="F9" s="24">
        <f>0</f>
        <v>0</v>
      </c>
      <c r="G9" s="24">
        <f>0</f>
        <v>0</v>
      </c>
      <c r="H9" s="24">
        <f>0</f>
        <v>0</v>
      </c>
      <c r="I9" s="24">
        <f>0</f>
        <v>0</v>
      </c>
      <c r="J9" s="35">
        <f t="shared" si="0"/>
        <v>12.935543216661369</v>
      </c>
      <c r="K9" s="35">
        <f t="shared" si="1"/>
        <v>24.960072457656302</v>
      </c>
      <c r="L9" s="35">
        <f t="shared" si="2"/>
        <v>25.412938159079292</v>
      </c>
    </row>
    <row r="10" spans="2:13" ht="13.5" customHeight="1" outlineLevel="1" x14ac:dyDescent="0.2">
      <c r="B10" s="54" t="s">
        <v>20</v>
      </c>
      <c r="C10" s="24">
        <f>1978802539.96</f>
        <v>1978802539.96</v>
      </c>
      <c r="D10" s="24">
        <f>782146275.61</f>
        <v>782146275.61000001</v>
      </c>
      <c r="E10" s="24">
        <f>69306698.01</f>
        <v>69306698.010000005</v>
      </c>
      <c r="F10" s="24">
        <f>1165454.55</f>
        <v>1165454.55</v>
      </c>
      <c r="G10" s="24">
        <f>487391.93</f>
        <v>487391.93</v>
      </c>
      <c r="H10" s="24">
        <f>1072392.69</f>
        <v>1072392.69</v>
      </c>
      <c r="I10" s="24">
        <f>0</f>
        <v>0</v>
      </c>
      <c r="J10" s="35">
        <f t="shared" si="0"/>
        <v>1.8688026541502436</v>
      </c>
      <c r="K10" s="35">
        <f t="shared" si="1"/>
        <v>39.526241745465441</v>
      </c>
      <c r="L10" s="35">
        <f t="shared" si="2"/>
        <v>3.6714164597488699</v>
      </c>
    </row>
    <row r="11" spans="2:13" ht="13.5" customHeight="1" outlineLevel="1" x14ac:dyDescent="0.2">
      <c r="B11" s="54" t="s">
        <v>21</v>
      </c>
      <c r="C11" s="24">
        <f>19371714692.69</f>
        <v>19371714692.689999</v>
      </c>
      <c r="D11" s="53">
        <f>5728954093.26</f>
        <v>5728954093.2600002</v>
      </c>
      <c r="E11" s="24">
        <f>650755408.74</f>
        <v>650755408.74000001</v>
      </c>
      <c r="F11" s="24">
        <f>193912109.5</f>
        <v>193912109.5</v>
      </c>
      <c r="G11" s="24">
        <f>20350271.18</f>
        <v>20350271.18</v>
      </c>
      <c r="H11" s="24">
        <f>43972097.51</f>
        <v>43972097.509999998</v>
      </c>
      <c r="I11" s="24">
        <f>254367.32</f>
        <v>254367.32</v>
      </c>
      <c r="J11" s="35">
        <f t="shared" si="0"/>
        <v>13.68834059414181</v>
      </c>
      <c r="K11" s="35">
        <f t="shared" si="1"/>
        <v>29.573809980909154</v>
      </c>
      <c r="L11" s="35">
        <f t="shared" si="2"/>
        <v>26.891870499206028</v>
      </c>
    </row>
    <row r="12" spans="2:13" ht="13.5" customHeight="1" outlineLevel="1" x14ac:dyDescent="0.2">
      <c r="B12" s="54" t="s">
        <v>22</v>
      </c>
      <c r="C12" s="24">
        <f>449763608.89</f>
        <v>449763608.88999999</v>
      </c>
      <c r="D12" s="53">
        <f>159886709.33</f>
        <v>159886709.33000001</v>
      </c>
      <c r="E12" s="24">
        <f>1848279.08</f>
        <v>1848279.08</v>
      </c>
      <c r="F12" s="24">
        <f>280971.34</f>
        <v>280971.34000000003</v>
      </c>
      <c r="G12" s="24">
        <f>23279.12</f>
        <v>23279.119999999999</v>
      </c>
      <c r="H12" s="24">
        <f>24709.5</f>
        <v>24709.5</v>
      </c>
      <c r="I12" s="24">
        <f>0</f>
        <v>0</v>
      </c>
      <c r="J12" s="35">
        <f t="shared" si="0"/>
        <v>0.38202151704451887</v>
      </c>
      <c r="K12" s="35">
        <f t="shared" si="1"/>
        <v>35.549054251986846</v>
      </c>
      <c r="L12" s="35">
        <f t="shared" si="2"/>
        <v>0.75051267855419057</v>
      </c>
    </row>
    <row r="13" spans="2:13" ht="13.5" customHeight="1" outlineLevel="1" x14ac:dyDescent="0.2">
      <c r="B13" s="54" t="s">
        <v>23</v>
      </c>
      <c r="C13" s="24">
        <f>1044090561.11</f>
        <v>1044090561.11</v>
      </c>
      <c r="D13" s="53">
        <f>470337135.84</f>
        <v>470337135.83999997</v>
      </c>
      <c r="E13" s="24">
        <f>308828596.99</f>
        <v>308828596.99000001</v>
      </c>
      <c r="F13" s="24">
        <f>708273.75</f>
        <v>708273.75</v>
      </c>
      <c r="G13" s="24">
        <f>637655.68</f>
        <v>637655.68000000005</v>
      </c>
      <c r="H13" s="24">
        <f>4904571.97</f>
        <v>4904571.97</v>
      </c>
      <c r="I13" s="24">
        <f>0</f>
        <v>0</v>
      </c>
      <c r="J13" s="35">
        <f t="shared" si="0"/>
        <v>1.1237888809451972</v>
      </c>
      <c r="K13" s="35">
        <f t="shared" si="1"/>
        <v>45.047542172967475</v>
      </c>
      <c r="L13" s="35">
        <f t="shared" si="2"/>
        <v>2.2077756501587547</v>
      </c>
    </row>
    <row r="14" spans="2:13" ht="33.950000000000003" customHeight="1" outlineLevel="1" x14ac:dyDescent="0.2">
      <c r="B14" s="54" t="s">
        <v>43</v>
      </c>
      <c r="C14" s="24">
        <f>87698816.31</f>
        <v>87698816.310000002</v>
      </c>
      <c r="D14" s="53">
        <f>13760685.08</f>
        <v>13760685.08</v>
      </c>
      <c r="E14" s="24">
        <f>0</f>
        <v>0</v>
      </c>
      <c r="F14" s="24">
        <f>0</f>
        <v>0</v>
      </c>
      <c r="G14" s="24">
        <f>7842</f>
        <v>7842</v>
      </c>
      <c r="H14" s="24">
        <f>14056.24</f>
        <v>14056.24</v>
      </c>
      <c r="I14" s="24">
        <f>0</f>
        <v>0</v>
      </c>
      <c r="J14" s="35">
        <f t="shared" si="0"/>
        <v>3.2878766545776379E-2</v>
      </c>
      <c r="K14" s="35">
        <f t="shared" si="1"/>
        <v>15.690844710330389</v>
      </c>
      <c r="L14" s="35">
        <f t="shared" si="2"/>
        <v>6.4593040043220737E-2</v>
      </c>
    </row>
    <row r="15" spans="2:13" ht="13.5" customHeight="1" outlineLevel="1" x14ac:dyDescent="0.2">
      <c r="B15" s="54" t="s">
        <v>28</v>
      </c>
      <c r="C15" s="24">
        <f>186388192.55</f>
        <v>186388192.55000001</v>
      </c>
      <c r="D15" s="53">
        <f>61307051.13</f>
        <v>61307051.130000003</v>
      </c>
      <c r="E15" s="24">
        <f>0</f>
        <v>0</v>
      </c>
      <c r="F15" s="24">
        <f>0</f>
        <v>0</v>
      </c>
      <c r="G15" s="24">
        <f>1294664.61</f>
        <v>1294664.6100000001</v>
      </c>
      <c r="H15" s="24">
        <f>3264027.07</f>
        <v>3264027.07</v>
      </c>
      <c r="I15" s="24">
        <f>0</f>
        <v>0</v>
      </c>
      <c r="J15" s="35">
        <f t="shared" si="0"/>
        <v>0.14648254865180346</v>
      </c>
      <c r="K15" s="35">
        <f t="shared" si="1"/>
        <v>32.892132431379167</v>
      </c>
      <c r="L15" s="35">
        <f t="shared" si="2"/>
        <v>0.2877770100507141</v>
      </c>
    </row>
    <row r="16" spans="2:13" ht="22.5" customHeight="1" outlineLevel="1" x14ac:dyDescent="0.2">
      <c r="B16" s="54" t="s">
        <v>29</v>
      </c>
      <c r="C16" s="24">
        <f>1783896059</f>
        <v>1783896059</v>
      </c>
      <c r="D16" s="53">
        <f>397267716.71</f>
        <v>397267716.70999998</v>
      </c>
      <c r="E16" s="24">
        <f>0</f>
        <v>0</v>
      </c>
      <c r="F16" s="24">
        <f>0</f>
        <v>0</v>
      </c>
      <c r="G16" s="24">
        <f>33137</f>
        <v>33137</v>
      </c>
      <c r="H16" s="24">
        <f>289664.51</f>
        <v>289664.51</v>
      </c>
      <c r="I16" s="24">
        <f>0</f>
        <v>0</v>
      </c>
      <c r="J16" s="35">
        <f t="shared" si="0"/>
        <v>0.94920219727037858</v>
      </c>
      <c r="K16" s="35">
        <f t="shared" si="1"/>
        <v>22.26966726596709</v>
      </c>
      <c r="L16" s="35">
        <f t="shared" si="2"/>
        <v>1.8647857562428791</v>
      </c>
    </row>
    <row r="17" spans="2:12" ht="13.5" customHeight="1" outlineLevel="1" x14ac:dyDescent="0.2">
      <c r="B17" s="54" t="s">
        <v>30</v>
      </c>
      <c r="C17" s="24">
        <f>200494878.49</f>
        <v>200494878.49000001</v>
      </c>
      <c r="D17" s="53">
        <f>49229570.29</f>
        <v>49229570.289999999</v>
      </c>
      <c r="E17" s="24">
        <f>0</f>
        <v>0</v>
      </c>
      <c r="F17" s="24">
        <f>0</f>
        <v>0</v>
      </c>
      <c r="G17" s="24">
        <f>523</f>
        <v>523</v>
      </c>
      <c r="H17" s="24">
        <f>0</f>
        <v>0</v>
      </c>
      <c r="I17" s="24">
        <f>0</f>
        <v>0</v>
      </c>
      <c r="J17" s="35">
        <f t="shared" si="0"/>
        <v>0.11762550623778963</v>
      </c>
      <c r="K17" s="35">
        <f t="shared" si="1"/>
        <v>24.554028841417711</v>
      </c>
      <c r="L17" s="35">
        <f t="shared" si="2"/>
        <v>0.23108497771482464</v>
      </c>
    </row>
    <row r="18" spans="2:12" ht="13.5" customHeight="1" outlineLevel="1" x14ac:dyDescent="0.2">
      <c r="B18" s="54" t="s">
        <v>31</v>
      </c>
      <c r="C18" s="24">
        <f>435539936.58</f>
        <v>435539936.57999998</v>
      </c>
      <c r="D18" s="53">
        <f>202096372.86</f>
        <v>202096372.86000001</v>
      </c>
      <c r="E18" s="24">
        <f>0</f>
        <v>0</v>
      </c>
      <c r="F18" s="24">
        <f>0</f>
        <v>0</v>
      </c>
      <c r="G18" s="24">
        <f>0</f>
        <v>0</v>
      </c>
      <c r="H18" s="24">
        <f>564836.82</f>
        <v>564836.81999999995</v>
      </c>
      <c r="I18" s="24">
        <f>0</f>
        <v>0</v>
      </c>
      <c r="J18" s="35">
        <f t="shared" si="0"/>
        <v>0.48287417555028567</v>
      </c>
      <c r="K18" s="35">
        <f t="shared" si="1"/>
        <v>46.401341389477594</v>
      </c>
      <c r="L18" s="35">
        <f t="shared" si="2"/>
        <v>0.94864601790128666</v>
      </c>
    </row>
    <row r="19" spans="2:12" ht="13.5" customHeight="1" outlineLevel="1" x14ac:dyDescent="0.2">
      <c r="B19" s="54" t="s">
        <v>32</v>
      </c>
      <c r="C19" s="24">
        <f>111444153.67</f>
        <v>111444153.67</v>
      </c>
      <c r="D19" s="53">
        <f>16008846.34</f>
        <v>16008846.34</v>
      </c>
      <c r="E19" s="24">
        <f>80341.43</f>
        <v>80341.429999999993</v>
      </c>
      <c r="F19" s="24">
        <f>0</f>
        <v>0</v>
      </c>
      <c r="G19" s="24">
        <f>0</f>
        <v>0</v>
      </c>
      <c r="H19" s="24">
        <f>81793.95</f>
        <v>81793.95</v>
      </c>
      <c r="I19" s="24">
        <f>0</f>
        <v>0</v>
      </c>
      <c r="J19" s="35">
        <f t="shared" si="0"/>
        <v>3.8250357334684869E-2</v>
      </c>
      <c r="K19" s="35">
        <f t="shared" si="1"/>
        <v>14.364904584770041</v>
      </c>
      <c r="L19" s="35">
        <f t="shared" si="2"/>
        <v>7.5145971779290791E-2</v>
      </c>
    </row>
    <row r="20" spans="2:12" ht="13.5" customHeight="1" outlineLevel="1" x14ac:dyDescent="0.2">
      <c r="B20" s="54" t="s">
        <v>24</v>
      </c>
      <c r="C20" s="24">
        <f>5347655027.73</f>
        <v>5347655027.7299995</v>
      </c>
      <c r="D20" s="53">
        <f>834681541.29</f>
        <v>834681541.28999996</v>
      </c>
      <c r="E20" s="24">
        <f>0</f>
        <v>0</v>
      </c>
      <c r="F20" s="24">
        <f>0</f>
        <v>0</v>
      </c>
      <c r="G20" s="24">
        <f>0</f>
        <v>0</v>
      </c>
      <c r="H20" s="24">
        <f>0</f>
        <v>0</v>
      </c>
      <c r="I20" s="24">
        <f>0</f>
        <v>0</v>
      </c>
      <c r="J20" s="35">
        <f t="shared" si="0"/>
        <v>1.9943265452698462</v>
      </c>
      <c r="K20" s="35">
        <f t="shared" si="1"/>
        <v>15.608365479108139</v>
      </c>
      <c r="L20" s="35">
        <f t="shared" si="2"/>
        <v>3.9180184639384374</v>
      </c>
    </row>
    <row r="21" spans="2:12" ht="13.5" customHeight="1" outlineLevel="1" x14ac:dyDescent="0.2">
      <c r="B21" s="54" t="s">
        <v>25</v>
      </c>
      <c r="C21" s="24">
        <f>C7-C8-C9-C10-C11-C12-C13-C14-C15-C16-C17-C18-C19-C20</f>
        <v>22216856705.27</v>
      </c>
      <c r="D21" s="24">
        <f t="shared" ref="D21:I21" si="3">D7-D8-D9-D10-D11-D12-D13-D14-D15-D16-D17-D18-D19-D20</f>
        <v>6604793887.4699984</v>
      </c>
      <c r="E21" s="24">
        <f t="shared" si="3"/>
        <v>5443040.2699999884</v>
      </c>
      <c r="F21" s="24">
        <f t="shared" si="3"/>
        <v>1179829.2299999928</v>
      </c>
      <c r="G21" s="24">
        <f t="shared" si="3"/>
        <v>3672255.5800000019</v>
      </c>
      <c r="H21" s="24">
        <f t="shared" si="3"/>
        <v>5402416.3600000022</v>
      </c>
      <c r="I21" s="24">
        <f t="shared" si="3"/>
        <v>44187.330000000016</v>
      </c>
      <c r="J21" s="35">
        <f t="shared" si="0"/>
        <v>15.7810076349118</v>
      </c>
      <c r="K21" s="35">
        <f t="shared" si="1"/>
        <v>29.728750448767549</v>
      </c>
      <c r="L21" s="35">
        <f t="shared" si="2"/>
        <v>31.003086951726768</v>
      </c>
    </row>
    <row r="22" spans="2:12" ht="27" customHeight="1" x14ac:dyDescent="0.2">
      <c r="B22" s="85" t="s">
        <v>98</v>
      </c>
      <c r="C22" s="45">
        <f>C23+C42+C44</f>
        <v>50219362544.55999</v>
      </c>
      <c r="D22" s="45">
        <f>D23+D42+D44</f>
        <v>7156084235.1800003</v>
      </c>
      <c r="E22" s="41" t="s">
        <v>57</v>
      </c>
      <c r="F22" s="41" t="s">
        <v>57</v>
      </c>
      <c r="G22" s="41" t="s">
        <v>57</v>
      </c>
      <c r="H22" s="41" t="s">
        <v>57</v>
      </c>
      <c r="I22" s="41" t="s">
        <v>57</v>
      </c>
      <c r="J22" s="46">
        <f t="shared" si="0"/>
        <v>17.09822015274213</v>
      </c>
      <c r="K22" s="46">
        <f t="shared" si="1"/>
        <v>14.249651673356778</v>
      </c>
      <c r="L22" s="29"/>
    </row>
    <row r="23" spans="2:12" ht="27" customHeight="1" outlineLevel="1" x14ac:dyDescent="0.2">
      <c r="B23" s="93" t="s">
        <v>59</v>
      </c>
      <c r="C23" s="45">
        <f>C24+C26+C28+C30+C32+C34+C36+C38+C40</f>
        <v>43616607603.18</v>
      </c>
      <c r="D23" s="45">
        <f>D24+D26+D28+D30+D32+D34+D36+D38+D40</f>
        <v>6275016900.3200006</v>
      </c>
      <c r="E23" s="41" t="s">
        <v>57</v>
      </c>
      <c r="F23" s="41" t="s">
        <v>57</v>
      </c>
      <c r="G23" s="41" t="s">
        <v>57</v>
      </c>
      <c r="H23" s="41" t="s">
        <v>57</v>
      </c>
      <c r="I23" s="41" t="s">
        <v>57</v>
      </c>
      <c r="J23" s="46">
        <f t="shared" si="0"/>
        <v>14.993062811697063</v>
      </c>
      <c r="K23" s="46">
        <f t="shared" si="1"/>
        <v>14.386760560127794</v>
      </c>
      <c r="L23" s="29"/>
    </row>
    <row r="24" spans="2:12" ht="22.5" customHeight="1" outlineLevel="1" x14ac:dyDescent="0.2">
      <c r="B24" s="83" t="s">
        <v>9</v>
      </c>
      <c r="C24" s="24">
        <f>11583773902.75</f>
        <v>11583773902.75</v>
      </c>
      <c r="D24" s="24">
        <f>3217901925.16</f>
        <v>3217901925.1599998</v>
      </c>
      <c r="E24" s="24" t="s">
        <v>57</v>
      </c>
      <c r="F24" s="24" t="s">
        <v>57</v>
      </c>
      <c r="G24" s="24" t="s">
        <v>57</v>
      </c>
      <c r="H24" s="24" t="s">
        <v>57</v>
      </c>
      <c r="I24" s="24" t="s">
        <v>57</v>
      </c>
      <c r="J24" s="35">
        <f t="shared" si="0"/>
        <v>7.6886176487181119</v>
      </c>
      <c r="K24" s="35">
        <f t="shared" si="1"/>
        <v>27.779391691994842</v>
      </c>
      <c r="L24" s="29"/>
    </row>
    <row r="25" spans="2:12" ht="13.5" customHeight="1" outlineLevel="1" x14ac:dyDescent="0.2">
      <c r="B25" s="94" t="s">
        <v>6</v>
      </c>
      <c r="C25" s="24">
        <f>4343085.9</f>
        <v>4343085.9000000004</v>
      </c>
      <c r="D25" s="24">
        <f>0</f>
        <v>0</v>
      </c>
      <c r="E25" s="24" t="s">
        <v>57</v>
      </c>
      <c r="F25" s="24" t="s">
        <v>57</v>
      </c>
      <c r="G25" s="24" t="s">
        <v>57</v>
      </c>
      <c r="H25" s="24" t="s">
        <v>57</v>
      </c>
      <c r="I25" s="24" t="s">
        <v>57</v>
      </c>
      <c r="J25" s="35">
        <f t="shared" si="0"/>
        <v>0</v>
      </c>
      <c r="K25" s="35">
        <f t="shared" si="1"/>
        <v>0</v>
      </c>
      <c r="L25" s="29"/>
    </row>
    <row r="26" spans="2:12" ht="13.5" customHeight="1" outlineLevel="1" x14ac:dyDescent="0.2">
      <c r="B26" s="83" t="s">
        <v>7</v>
      </c>
      <c r="C26" s="24">
        <f>3194108015.81</f>
        <v>3194108015.8099999</v>
      </c>
      <c r="D26" s="24">
        <f>597968930.6</f>
        <v>597968930.60000002</v>
      </c>
      <c r="E26" s="24" t="s">
        <v>57</v>
      </c>
      <c r="F26" s="24" t="s">
        <v>57</v>
      </c>
      <c r="G26" s="24" t="s">
        <v>57</v>
      </c>
      <c r="H26" s="24" t="s">
        <v>57</v>
      </c>
      <c r="I26" s="24" t="s">
        <v>57</v>
      </c>
      <c r="J26" s="35">
        <f t="shared" si="0"/>
        <v>1.4287428828234587</v>
      </c>
      <c r="K26" s="35">
        <f t="shared" si="1"/>
        <v>18.720999028217271</v>
      </c>
      <c r="L26" s="29"/>
    </row>
    <row r="27" spans="2:12" ht="13.5" customHeight="1" outlineLevel="1" x14ac:dyDescent="0.2">
      <c r="B27" s="94" t="s">
        <v>6</v>
      </c>
      <c r="C27" s="24">
        <f>362397951.99</f>
        <v>362397951.99000001</v>
      </c>
      <c r="D27" s="24">
        <f>21934871.39</f>
        <v>21934871.390000001</v>
      </c>
      <c r="E27" s="24" t="s">
        <v>57</v>
      </c>
      <c r="F27" s="24" t="s">
        <v>57</v>
      </c>
      <c r="G27" s="24" t="s">
        <v>57</v>
      </c>
      <c r="H27" s="24" t="s">
        <v>57</v>
      </c>
      <c r="I27" s="24" t="s">
        <v>57</v>
      </c>
      <c r="J27" s="35">
        <f t="shared" si="0"/>
        <v>5.2409564745554034E-2</v>
      </c>
      <c r="K27" s="35">
        <f t="shared" si="1"/>
        <v>6.0527029111371107</v>
      </c>
      <c r="L27" s="29"/>
    </row>
    <row r="28" spans="2:12" ht="35.1" customHeight="1" outlineLevel="1" x14ac:dyDescent="0.2">
      <c r="B28" s="83" t="s">
        <v>10</v>
      </c>
      <c r="C28" s="24">
        <f>25267830.13</f>
        <v>25267830.129999999</v>
      </c>
      <c r="D28" s="24">
        <f>5808892.04</f>
        <v>5808892.04</v>
      </c>
      <c r="E28" s="24" t="s">
        <v>57</v>
      </c>
      <c r="F28" s="24" t="s">
        <v>57</v>
      </c>
      <c r="G28" s="24" t="s">
        <v>57</v>
      </c>
      <c r="H28" s="24" t="s">
        <v>57</v>
      </c>
      <c r="I28" s="24" t="s">
        <v>57</v>
      </c>
      <c r="J28" s="35">
        <f t="shared" si="0"/>
        <v>1.3879338431366725E-2</v>
      </c>
      <c r="K28" s="35">
        <f t="shared" si="1"/>
        <v>22.98927929352832</v>
      </c>
      <c r="L28" s="29"/>
    </row>
    <row r="29" spans="2:12" ht="13.5" customHeight="1" outlineLevel="1" x14ac:dyDescent="0.2">
      <c r="B29" s="94" t="s">
        <v>6</v>
      </c>
      <c r="C29" s="24">
        <f>13060599.8</f>
        <v>13060599.800000001</v>
      </c>
      <c r="D29" s="24">
        <f>2366399.25</f>
        <v>2366399.25</v>
      </c>
      <c r="E29" s="24" t="s">
        <v>57</v>
      </c>
      <c r="F29" s="24" t="s">
        <v>57</v>
      </c>
      <c r="G29" s="24" t="s">
        <v>57</v>
      </c>
      <c r="H29" s="24" t="s">
        <v>57</v>
      </c>
      <c r="I29" s="24" t="s">
        <v>57</v>
      </c>
      <c r="J29" s="35">
        <f t="shared" si="0"/>
        <v>5.6540999261680876E-3</v>
      </c>
      <c r="K29" s="35">
        <f t="shared" si="1"/>
        <v>18.118610831334099</v>
      </c>
      <c r="L29" s="29"/>
    </row>
    <row r="30" spans="2:12" ht="24" customHeight="1" outlineLevel="1" x14ac:dyDescent="0.2">
      <c r="B30" s="83" t="s">
        <v>11</v>
      </c>
      <c r="C30" s="24">
        <f>612806894.46</f>
        <v>612806894.46000004</v>
      </c>
      <c r="D30" s="24">
        <f>110367441.32</f>
        <v>110367441.31999999</v>
      </c>
      <c r="E30" s="24" t="s">
        <v>57</v>
      </c>
      <c r="F30" s="24" t="s">
        <v>57</v>
      </c>
      <c r="G30" s="24" t="s">
        <v>57</v>
      </c>
      <c r="H30" s="24" t="s">
        <v>57</v>
      </c>
      <c r="I30" s="24" t="s">
        <v>57</v>
      </c>
      <c r="J30" s="35">
        <f t="shared" si="0"/>
        <v>0.26370382842995443</v>
      </c>
      <c r="K30" s="35">
        <f t="shared" si="1"/>
        <v>18.010150068114818</v>
      </c>
      <c r="L30" s="29"/>
    </row>
    <row r="31" spans="2:12" ht="13.5" customHeight="1" outlineLevel="1" x14ac:dyDescent="0.2">
      <c r="B31" s="94" t="s">
        <v>6</v>
      </c>
      <c r="C31" s="24">
        <f>205652967.06</f>
        <v>205652967.06</v>
      </c>
      <c r="D31" s="24">
        <f>13025594.91</f>
        <v>13025594.91</v>
      </c>
      <c r="E31" s="24" t="s">
        <v>57</v>
      </c>
      <c r="F31" s="24" t="s">
        <v>57</v>
      </c>
      <c r="G31" s="24" t="s">
        <v>57</v>
      </c>
      <c r="H31" s="24" t="s">
        <v>57</v>
      </c>
      <c r="I31" s="24" t="s">
        <v>57</v>
      </c>
      <c r="J31" s="35">
        <f t="shared" si="0"/>
        <v>3.1122396281576925E-2</v>
      </c>
      <c r="K31" s="35">
        <f t="shared" si="1"/>
        <v>6.3337743657254091</v>
      </c>
      <c r="L31" s="29"/>
    </row>
    <row r="32" spans="2:12" ht="35.1" customHeight="1" outlineLevel="1" x14ac:dyDescent="0.2">
      <c r="B32" s="83" t="s">
        <v>75</v>
      </c>
      <c r="C32" s="24">
        <f>490206429.61</f>
        <v>490206429.61000001</v>
      </c>
      <c r="D32" s="24">
        <f>62040542.29</f>
        <v>62040542.289999999</v>
      </c>
      <c r="E32" s="24" t="s">
        <v>57</v>
      </c>
      <c r="F32" s="24" t="s">
        <v>57</v>
      </c>
      <c r="G32" s="24" t="s">
        <v>57</v>
      </c>
      <c r="H32" s="24" t="s">
        <v>57</v>
      </c>
      <c r="I32" s="24" t="s">
        <v>57</v>
      </c>
      <c r="J32" s="35">
        <f t="shared" si="0"/>
        <v>0.14823509835938173</v>
      </c>
      <c r="K32" s="35">
        <f t="shared" si="1"/>
        <v>12.656003377874585</v>
      </c>
      <c r="L32" s="29"/>
    </row>
    <row r="33" spans="2:12" ht="13.5" customHeight="1" outlineLevel="1" x14ac:dyDescent="0.2">
      <c r="B33" s="94" t="s">
        <v>6</v>
      </c>
      <c r="C33" s="24">
        <f>452466418.97</f>
        <v>452466418.97000003</v>
      </c>
      <c r="D33" s="24">
        <f>55185363.73</f>
        <v>55185363.729999997</v>
      </c>
      <c r="E33" s="24" t="s">
        <v>57</v>
      </c>
      <c r="F33" s="24" t="s">
        <v>57</v>
      </c>
      <c r="G33" s="24" t="s">
        <v>57</v>
      </c>
      <c r="H33" s="24" t="s">
        <v>57</v>
      </c>
      <c r="I33" s="24" t="s">
        <v>57</v>
      </c>
      <c r="J33" s="35">
        <f t="shared" si="0"/>
        <v>0.13185584004531445</v>
      </c>
      <c r="K33" s="35">
        <f t="shared" si="1"/>
        <v>12.196565627041366</v>
      </c>
      <c r="L33" s="29"/>
    </row>
    <row r="34" spans="2:12" ht="13.5" customHeight="1" outlineLevel="1" x14ac:dyDescent="0.2">
      <c r="B34" s="83" t="s">
        <v>8</v>
      </c>
      <c r="C34" s="24">
        <f>387637794.77</f>
        <v>387637794.76999998</v>
      </c>
      <c r="D34" s="24">
        <f>32130909.8</f>
        <v>32130909.800000001</v>
      </c>
      <c r="E34" s="24" t="s">
        <v>57</v>
      </c>
      <c r="F34" s="24" t="s">
        <v>57</v>
      </c>
      <c r="G34" s="24" t="s">
        <v>57</v>
      </c>
      <c r="H34" s="24" t="s">
        <v>57</v>
      </c>
      <c r="I34" s="24" t="s">
        <v>57</v>
      </c>
      <c r="J34" s="35">
        <f t="shared" si="0"/>
        <v>7.6771227309970408E-2</v>
      </c>
      <c r="K34" s="35">
        <f t="shared" si="1"/>
        <v>8.2889001623447154</v>
      </c>
      <c r="L34" s="29"/>
    </row>
    <row r="35" spans="2:12" ht="13.5" customHeight="1" outlineLevel="1" x14ac:dyDescent="0.2">
      <c r="B35" s="95" t="s">
        <v>6</v>
      </c>
      <c r="C35" s="22">
        <f>351962679.4</f>
        <v>351962679.39999998</v>
      </c>
      <c r="D35" s="22">
        <f>24401989.36</f>
        <v>24401989.359999999</v>
      </c>
      <c r="E35" s="24" t="s">
        <v>57</v>
      </c>
      <c r="F35" s="24" t="s">
        <v>57</v>
      </c>
      <c r="G35" s="24" t="s">
        <v>57</v>
      </c>
      <c r="H35" s="24" t="s">
        <v>57</v>
      </c>
      <c r="I35" s="24" t="s">
        <v>57</v>
      </c>
      <c r="J35" s="35">
        <f t="shared" si="0"/>
        <v>5.8304314556696414E-2</v>
      </c>
      <c r="K35" s="35">
        <f t="shared" si="1"/>
        <v>6.9331184208503904</v>
      </c>
      <c r="L35" s="29"/>
    </row>
    <row r="36" spans="2:12" ht="71.099999999999994" customHeight="1" outlineLevel="1" x14ac:dyDescent="0.2">
      <c r="B36" s="83" t="s">
        <v>92</v>
      </c>
      <c r="C36" s="22">
        <f>5649191.53</f>
        <v>5649191.5300000003</v>
      </c>
      <c r="D36" s="22">
        <f>500000</f>
        <v>500000</v>
      </c>
      <c r="E36" s="24" t="s">
        <v>57</v>
      </c>
      <c r="F36" s="24" t="s">
        <v>57</v>
      </c>
      <c r="G36" s="24" t="s">
        <v>57</v>
      </c>
      <c r="H36" s="24" t="s">
        <v>57</v>
      </c>
      <c r="I36" s="24" t="s">
        <v>57</v>
      </c>
      <c r="J36" s="35">
        <f t="shared" si="0"/>
        <v>1.1946631419377115E-3</v>
      </c>
      <c r="K36" s="35">
        <f>IF(C36=0,"",100*D36/C36)</f>
        <v>8.8508240045456557</v>
      </c>
      <c r="L36" s="29"/>
    </row>
    <row r="37" spans="2:12" ht="13.5" customHeight="1" outlineLevel="1" x14ac:dyDescent="0.2">
      <c r="B37" s="95" t="s">
        <v>93</v>
      </c>
      <c r="C37" s="22">
        <f>5124191.53</f>
        <v>5124191.53</v>
      </c>
      <c r="D37" s="22">
        <f>0</f>
        <v>0</v>
      </c>
      <c r="E37" s="24" t="s">
        <v>57</v>
      </c>
      <c r="F37" s="24" t="s">
        <v>57</v>
      </c>
      <c r="G37" s="24" t="s">
        <v>57</v>
      </c>
      <c r="H37" s="24" t="s">
        <v>57</v>
      </c>
      <c r="I37" s="24" t="s">
        <v>57</v>
      </c>
      <c r="J37" s="35">
        <f t="shared" si="0"/>
        <v>0</v>
      </c>
      <c r="K37" s="35">
        <f>IF(C37=0,"",100*D37/C37)</f>
        <v>0</v>
      </c>
      <c r="L37" s="29"/>
    </row>
    <row r="38" spans="2:12" ht="48" customHeight="1" outlineLevel="1" x14ac:dyDescent="0.2">
      <c r="B38" s="96" t="s">
        <v>90</v>
      </c>
      <c r="C38" s="22">
        <f>26636142749.5</f>
        <v>26636142749.5</v>
      </c>
      <c r="D38" s="22">
        <f>1660394130.47</f>
        <v>1660394130.47</v>
      </c>
      <c r="E38" s="24" t="s">
        <v>57</v>
      </c>
      <c r="F38" s="24" t="s">
        <v>57</v>
      </c>
      <c r="G38" s="24" t="s">
        <v>57</v>
      </c>
      <c r="H38" s="24" t="s">
        <v>57</v>
      </c>
      <c r="I38" s="24" t="s">
        <v>57</v>
      </c>
      <c r="J38" s="35">
        <f t="shared" si="0"/>
        <v>3.9672233375244494</v>
      </c>
      <c r="K38" s="35">
        <f t="shared" si="1"/>
        <v>6.2336132753349514</v>
      </c>
      <c r="L38" s="29"/>
    </row>
    <row r="39" spans="2:12" ht="13.5" customHeight="1" outlineLevel="1" x14ac:dyDescent="0.2">
      <c r="B39" s="95" t="s">
        <v>6</v>
      </c>
      <c r="C39" s="22">
        <f>25991681911.79</f>
        <v>25991681911.790001</v>
      </c>
      <c r="D39" s="22">
        <f>1280064946.01</f>
        <v>1280064946.01</v>
      </c>
      <c r="E39" s="24" t="s">
        <v>57</v>
      </c>
      <c r="F39" s="24" t="s">
        <v>57</v>
      </c>
      <c r="G39" s="24" t="s">
        <v>57</v>
      </c>
      <c r="H39" s="24" t="s">
        <v>57</v>
      </c>
      <c r="I39" s="24" t="s">
        <v>57</v>
      </c>
      <c r="J39" s="35">
        <f t="shared" si="0"/>
        <v>3.0584928205692674</v>
      </c>
      <c r="K39" s="35">
        <f t="shared" si="1"/>
        <v>4.9249023220361661</v>
      </c>
      <c r="L39" s="29"/>
    </row>
    <row r="40" spans="2:12" ht="22.5" outlineLevel="1" x14ac:dyDescent="0.2">
      <c r="B40" s="96" t="s">
        <v>104</v>
      </c>
      <c r="C40" s="22">
        <f>681014794.62</f>
        <v>681014794.62</v>
      </c>
      <c r="D40" s="22">
        <f>587904128.64</f>
        <v>587904128.63999999</v>
      </c>
      <c r="E40" s="24" t="s">
        <v>57</v>
      </c>
      <c r="F40" s="24" t="s">
        <v>57</v>
      </c>
      <c r="G40" s="24" t="s">
        <v>57</v>
      </c>
      <c r="H40" s="24" t="s">
        <v>57</v>
      </c>
      <c r="I40" s="24" t="s">
        <v>57</v>
      </c>
      <c r="J40" s="35">
        <f t="shared" si="0"/>
        <v>1.4046947869584299</v>
      </c>
      <c r="K40" s="35">
        <f t="shared" si="1"/>
        <v>86.327658853291894</v>
      </c>
      <c r="L40" s="29"/>
    </row>
    <row r="41" spans="2:12" ht="13.5" customHeight="1" outlineLevel="1" x14ac:dyDescent="0.2">
      <c r="B41" s="95" t="s">
        <v>6</v>
      </c>
      <c r="C41" s="22">
        <f>5754279.94</f>
        <v>5754279.9400000004</v>
      </c>
      <c r="D41" s="22">
        <f>83527.44</f>
        <v>83527.44</v>
      </c>
      <c r="E41" s="24" t="s">
        <v>57</v>
      </c>
      <c r="F41" s="24" t="s">
        <v>57</v>
      </c>
      <c r="G41" s="24" t="s">
        <v>57</v>
      </c>
      <c r="H41" s="24" t="s">
        <v>57</v>
      </c>
      <c r="I41" s="24" t="s">
        <v>57</v>
      </c>
      <c r="J41" s="35">
        <f t="shared" si="0"/>
        <v>1.9957430781682736E-4</v>
      </c>
      <c r="K41" s="35">
        <f t="shared" si="1"/>
        <v>1.4515706721074122</v>
      </c>
      <c r="L41" s="29"/>
    </row>
    <row r="42" spans="2:12" outlineLevel="1" x14ac:dyDescent="0.2">
      <c r="B42" s="93" t="s">
        <v>86</v>
      </c>
      <c r="C42" s="45">
        <f>1005140901.79</f>
        <v>1005140901.79</v>
      </c>
      <c r="D42" s="45">
        <f>123340595.7</f>
        <v>123340595.7</v>
      </c>
      <c r="E42" s="41" t="s">
        <v>57</v>
      </c>
      <c r="F42" s="41" t="s">
        <v>57</v>
      </c>
      <c r="G42" s="41" t="s">
        <v>57</v>
      </c>
      <c r="H42" s="41" t="s">
        <v>57</v>
      </c>
      <c r="I42" s="41" t="s">
        <v>57</v>
      </c>
      <c r="J42" s="46">
        <f t="shared" si="0"/>
        <v>0.29470092717486196</v>
      </c>
      <c r="K42" s="46">
        <f t="shared" si="1"/>
        <v>12.270975689114783</v>
      </c>
      <c r="L42" s="29"/>
    </row>
    <row r="43" spans="2:12" ht="13.5" customHeight="1" outlineLevel="1" x14ac:dyDescent="0.2">
      <c r="B43" s="95" t="s">
        <v>87</v>
      </c>
      <c r="C43" s="22">
        <f>838344894.4</f>
        <v>838344894.39999998</v>
      </c>
      <c r="D43" s="22">
        <f>81894366.47</f>
        <v>81894366.469999999</v>
      </c>
      <c r="E43" s="24" t="s">
        <v>57</v>
      </c>
      <c r="F43" s="24" t="s">
        <v>57</v>
      </c>
      <c r="G43" s="24" t="s">
        <v>57</v>
      </c>
      <c r="H43" s="24" t="s">
        <v>57</v>
      </c>
      <c r="I43" s="24" t="s">
        <v>57</v>
      </c>
      <c r="J43" s="35">
        <f t="shared" si="0"/>
        <v>0.19567236230809715</v>
      </c>
      <c r="K43" s="35">
        <f t="shared" si="1"/>
        <v>9.7685769922427284</v>
      </c>
      <c r="L43" s="29"/>
    </row>
    <row r="44" spans="2:12" ht="13.5" customHeight="1" outlineLevel="1" x14ac:dyDescent="0.2">
      <c r="B44" s="93" t="s">
        <v>88</v>
      </c>
      <c r="C44" s="41">
        <f>5597614039.58999</f>
        <v>5597614039.5899897</v>
      </c>
      <c r="D44" s="41">
        <f>757726739.16</f>
        <v>757726739.15999997</v>
      </c>
      <c r="E44" s="41" t="s">
        <v>57</v>
      </c>
      <c r="F44" s="41" t="s">
        <v>57</v>
      </c>
      <c r="G44" s="41" t="s">
        <v>57</v>
      </c>
      <c r="H44" s="41" t="s">
        <v>57</v>
      </c>
      <c r="I44" s="41" t="s">
        <v>57</v>
      </c>
      <c r="J44" s="55">
        <f t="shared" si="0"/>
        <v>1.8104564138702048</v>
      </c>
      <c r="K44" s="55">
        <f t="shared" si="1"/>
        <v>13.536602091549375</v>
      </c>
      <c r="L44" s="29"/>
    </row>
    <row r="45" spans="2:12" ht="13.5" customHeight="1" outlineLevel="1" x14ac:dyDescent="0.2">
      <c r="B45" s="95" t="s">
        <v>89</v>
      </c>
      <c r="C45" s="22">
        <f>5117019874.4</f>
        <v>5117019874.3999996</v>
      </c>
      <c r="D45" s="22">
        <f>577804022.03</f>
        <v>577804022.02999997</v>
      </c>
      <c r="E45" s="24" t="s">
        <v>57</v>
      </c>
      <c r="F45" s="24" t="s">
        <v>57</v>
      </c>
      <c r="G45" s="24" t="s">
        <v>57</v>
      </c>
      <c r="H45" s="24" t="s">
        <v>57</v>
      </c>
      <c r="I45" s="24" t="s">
        <v>57</v>
      </c>
      <c r="J45" s="35">
        <f t="shared" si="0"/>
        <v>1.3805623367652129</v>
      </c>
      <c r="K45" s="35">
        <f t="shared" si="1"/>
        <v>11.291807266973942</v>
      </c>
      <c r="L45" s="29"/>
    </row>
    <row r="46" spans="2:12" s="5" customFormat="1" ht="25.5" customHeight="1" x14ac:dyDescent="0.2">
      <c r="B46" s="85" t="s">
        <v>60</v>
      </c>
      <c r="C46" s="25">
        <f>C47+C48+C49+C50+C51</f>
        <v>38503159115.059998</v>
      </c>
      <c r="D46" s="25">
        <f>D47+D48+D49+D50+D51</f>
        <v>13393052484</v>
      </c>
      <c r="E46" s="23" t="s">
        <v>57</v>
      </c>
      <c r="F46" s="23" t="s">
        <v>57</v>
      </c>
      <c r="G46" s="23" t="s">
        <v>57</v>
      </c>
      <c r="H46" s="23" t="s">
        <v>57</v>
      </c>
      <c r="I46" s="23" t="s">
        <v>57</v>
      </c>
      <c r="J46" s="34">
        <f t="shared" si="0"/>
        <v>32.000372321344223</v>
      </c>
      <c r="K46" s="34">
        <f t="shared" si="1"/>
        <v>34.784295085962142</v>
      </c>
      <c r="L46" s="30"/>
    </row>
    <row r="47" spans="2:12" ht="13.5" customHeight="1" outlineLevel="1" x14ac:dyDescent="0.2">
      <c r="B47" s="32" t="s">
        <v>47</v>
      </c>
      <c r="C47" s="22">
        <f>10115669737</f>
        <v>10115669737</v>
      </c>
      <c r="D47" s="22">
        <f>2528868567</f>
        <v>2528868567</v>
      </c>
      <c r="E47" s="24" t="s">
        <v>57</v>
      </c>
      <c r="F47" s="24" t="s">
        <v>57</v>
      </c>
      <c r="G47" s="24" t="s">
        <v>57</v>
      </c>
      <c r="H47" s="24" t="s">
        <v>57</v>
      </c>
      <c r="I47" s="24" t="s">
        <v>57</v>
      </c>
      <c r="J47" s="35">
        <f t="shared" si="0"/>
        <v>6.0422921355994763</v>
      </c>
      <c r="K47" s="35">
        <f t="shared" si="1"/>
        <v>24.9995169153277</v>
      </c>
      <c r="L47" s="29"/>
    </row>
    <row r="48" spans="2:12" ht="13.5" customHeight="1" outlineLevel="1" x14ac:dyDescent="0.2">
      <c r="B48" s="54" t="s">
        <v>46</v>
      </c>
      <c r="C48" s="24">
        <f>27992027903.06</f>
        <v>27992027903.060001</v>
      </c>
      <c r="D48" s="24">
        <f>10765404460</f>
        <v>10765404460</v>
      </c>
      <c r="E48" s="24" t="s">
        <v>57</v>
      </c>
      <c r="F48" s="24" t="s">
        <v>57</v>
      </c>
      <c r="G48" s="24" t="s">
        <v>57</v>
      </c>
      <c r="H48" s="24" t="s">
        <v>57</v>
      </c>
      <c r="I48" s="24" t="s">
        <v>57</v>
      </c>
      <c r="J48" s="35">
        <f t="shared" si="0"/>
        <v>25.722063832827704</v>
      </c>
      <c r="K48" s="35">
        <f t="shared" si="1"/>
        <v>38.458822980892926</v>
      </c>
      <c r="L48" s="29"/>
    </row>
    <row r="49" spans="1:26" ht="13.5" customHeight="1" outlineLevel="1" x14ac:dyDescent="0.2">
      <c r="B49" s="54" t="s">
        <v>45</v>
      </c>
      <c r="C49" s="24">
        <f>236435</f>
        <v>236435</v>
      </c>
      <c r="D49" s="24">
        <f>0</f>
        <v>0</v>
      </c>
      <c r="E49" s="24" t="s">
        <v>57</v>
      </c>
      <c r="F49" s="24" t="s">
        <v>57</v>
      </c>
      <c r="G49" s="24" t="s">
        <v>57</v>
      </c>
      <c r="H49" s="24" t="s">
        <v>57</v>
      </c>
      <c r="I49" s="24" t="s">
        <v>57</v>
      </c>
      <c r="J49" s="35">
        <f t="shared" si="0"/>
        <v>0</v>
      </c>
      <c r="K49" s="35">
        <f t="shared" si="1"/>
        <v>0</v>
      </c>
      <c r="L49" s="29"/>
    </row>
    <row r="50" spans="1:26" ht="13.5" customHeight="1" outlineLevel="1" x14ac:dyDescent="0.2">
      <c r="B50" s="54" t="s">
        <v>44</v>
      </c>
      <c r="C50" s="24">
        <f>394153142</f>
        <v>394153142</v>
      </c>
      <c r="D50" s="24">
        <f>98562957</f>
        <v>98562957</v>
      </c>
      <c r="E50" s="24" t="s">
        <v>57</v>
      </c>
      <c r="F50" s="24" t="s">
        <v>57</v>
      </c>
      <c r="G50" s="24" t="s">
        <v>57</v>
      </c>
      <c r="H50" s="24" t="s">
        <v>57</v>
      </c>
      <c r="I50" s="24" t="s">
        <v>57</v>
      </c>
      <c r="J50" s="35">
        <f t="shared" si="0"/>
        <v>0.23549906377658311</v>
      </c>
      <c r="K50" s="35">
        <f t="shared" si="1"/>
        <v>25.006259369105827</v>
      </c>
      <c r="L50" s="29"/>
    </row>
    <row r="51" spans="1:26" s="5" customFormat="1" ht="13.5" customHeight="1" outlineLevel="1" x14ac:dyDescent="0.2">
      <c r="B51" s="54" t="s">
        <v>42</v>
      </c>
      <c r="C51" s="24">
        <f>1071898</f>
        <v>1071898</v>
      </c>
      <c r="D51" s="24">
        <f>216500</f>
        <v>216500</v>
      </c>
      <c r="E51" s="24" t="s">
        <v>57</v>
      </c>
      <c r="F51" s="24" t="s">
        <v>57</v>
      </c>
      <c r="G51" s="24" t="s">
        <v>57</v>
      </c>
      <c r="H51" s="24" t="s">
        <v>57</v>
      </c>
      <c r="I51" s="24" t="s">
        <v>57</v>
      </c>
      <c r="J51" s="35">
        <f t="shared" si="0"/>
        <v>5.1728914045902905E-4</v>
      </c>
      <c r="K51" s="35">
        <f t="shared" si="1"/>
        <v>20.197817329633978</v>
      </c>
      <c r="L51" s="30"/>
    </row>
    <row r="52" spans="1:26" s="5" customFormat="1" x14ac:dyDescent="0.2">
      <c r="A52" s="2"/>
      <c r="B52" s="20"/>
      <c r="C52" s="7"/>
      <c r="D52" s="8"/>
      <c r="E52" s="16"/>
      <c r="F52" s="16"/>
      <c r="G52" s="16"/>
      <c r="H52" s="16"/>
      <c r="I52" s="16"/>
      <c r="J52" s="9"/>
      <c r="K52" s="9"/>
      <c r="L52" s="3"/>
    </row>
    <row r="53" spans="1:26" s="5" customFormat="1" ht="13.5" customHeight="1" x14ac:dyDescent="0.2">
      <c r="A53" s="2"/>
      <c r="B53" s="84" t="s">
        <v>5</v>
      </c>
      <c r="C53" s="41">
        <f t="shared" ref="C53:I53" si="4">+C6</f>
        <v>165904303992.06</v>
      </c>
      <c r="D53" s="41">
        <f t="shared" si="4"/>
        <v>41852802053.389999</v>
      </c>
      <c r="E53" s="41">
        <f t="shared" si="4"/>
        <v>1036262364.52</v>
      </c>
      <c r="F53" s="41">
        <f t="shared" si="4"/>
        <v>197246638.37</v>
      </c>
      <c r="G53" s="41">
        <f t="shared" si="4"/>
        <v>26507020.100000001</v>
      </c>
      <c r="H53" s="41">
        <f t="shared" si="4"/>
        <v>59590566.619999997</v>
      </c>
      <c r="I53" s="41">
        <f t="shared" si="4"/>
        <v>298554.65000000002</v>
      </c>
      <c r="J53" s="56">
        <f t="shared" si="0"/>
        <v>100</v>
      </c>
      <c r="K53" s="78">
        <f>IF(C53=0,"",100*D53/C53)</f>
        <v>25.227074311099869</v>
      </c>
      <c r="L53" s="80"/>
    </row>
    <row r="54" spans="1:26" s="5" customFormat="1" ht="13.5" customHeight="1" x14ac:dyDescent="0.2">
      <c r="A54" s="2"/>
      <c r="B54" s="86" t="s">
        <v>70</v>
      </c>
      <c r="C54" s="24">
        <f>39738946785.28</f>
        <v>39738946785.279999</v>
      </c>
      <c r="D54" s="24">
        <f>2862049105.08</f>
        <v>2862049105.0799999</v>
      </c>
      <c r="E54" s="24">
        <f>0</f>
        <v>0</v>
      </c>
      <c r="F54" s="24">
        <f>0</f>
        <v>0</v>
      </c>
      <c r="G54" s="24">
        <f>0</f>
        <v>0</v>
      </c>
      <c r="H54" s="24">
        <f>0</f>
        <v>0</v>
      </c>
      <c r="I54" s="24">
        <f>0</f>
        <v>0</v>
      </c>
      <c r="J54" s="38">
        <f t="shared" si="0"/>
        <v>6.8383691525097765</v>
      </c>
      <c r="K54" s="79">
        <f>IF(C54=0,"",100*D54/C54)</f>
        <v>7.2021262177490648</v>
      </c>
      <c r="L54" s="80"/>
    </row>
    <row r="55" spans="1:26" s="5" customFormat="1" ht="13.5" customHeight="1" x14ac:dyDescent="0.2">
      <c r="A55" s="2"/>
      <c r="B55" s="86" t="s">
        <v>71</v>
      </c>
      <c r="C55" s="24">
        <f>C53-C54</f>
        <v>126165357206.78</v>
      </c>
      <c r="D55" s="24">
        <f t="shared" ref="D55:I55" si="5">D53-D54</f>
        <v>38990752948.309998</v>
      </c>
      <c r="E55" s="24">
        <f t="shared" si="5"/>
        <v>1036262364.52</v>
      </c>
      <c r="F55" s="24">
        <f t="shared" si="5"/>
        <v>197246638.37</v>
      </c>
      <c r="G55" s="24">
        <f t="shared" si="5"/>
        <v>26507020.100000001</v>
      </c>
      <c r="H55" s="24">
        <f t="shared" si="5"/>
        <v>59590566.619999997</v>
      </c>
      <c r="I55" s="24">
        <f t="shared" si="5"/>
        <v>298554.65000000002</v>
      </c>
      <c r="J55" s="38">
        <f t="shared" si="0"/>
        <v>93.16163084749023</v>
      </c>
      <c r="K55" s="79">
        <f>IF(C55=0,"",100*D55/C55)</f>
        <v>30.904484251097319</v>
      </c>
      <c r="L55" s="80"/>
    </row>
    <row r="56" spans="1:26" s="5" customFormat="1" ht="13.5" customHeight="1" x14ac:dyDescent="0.2">
      <c r="A56" s="2"/>
      <c r="B56" s="105" t="s">
        <v>105</v>
      </c>
      <c r="C56" s="105"/>
      <c r="D56" s="105"/>
      <c r="E56" s="105"/>
      <c r="F56" s="76"/>
      <c r="G56" s="76"/>
      <c r="H56" s="76"/>
      <c r="I56" s="76"/>
      <c r="J56" s="9"/>
      <c r="K56" s="9"/>
      <c r="L56" s="9"/>
    </row>
    <row r="57" spans="1:26" ht="15" x14ac:dyDescent="0.2">
      <c r="B57" s="91" t="str">
        <f>CONCATENATE("Informacja z wykonania budżetów gmin za ",$D$117," ",$C$118," rok     ",$C$120,"")</f>
        <v xml:space="preserve">Informacja z wykonania budżetów gmin za I Kwartał 2023 rok     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26" s="5" customFormat="1" ht="7.5" customHeight="1" x14ac:dyDescent="0.2">
      <c r="B58" s="6"/>
      <c r="C58" s="7"/>
      <c r="D58" s="8"/>
      <c r="E58" s="8"/>
      <c r="F58" s="4"/>
      <c r="G58" s="4"/>
      <c r="H58" s="4"/>
      <c r="I58" s="4"/>
      <c r="J58" s="4"/>
      <c r="K58" s="9"/>
      <c r="L58" s="9"/>
      <c r="M58" s="3"/>
    </row>
    <row r="59" spans="1:26" ht="29.25" customHeight="1" x14ac:dyDescent="0.2">
      <c r="B59" s="124" t="s">
        <v>0</v>
      </c>
      <c r="C59" s="108" t="s">
        <v>53</v>
      </c>
      <c r="D59" s="108" t="s">
        <v>55</v>
      </c>
      <c r="E59" s="108" t="s">
        <v>54</v>
      </c>
      <c r="F59" s="108" t="s">
        <v>12</v>
      </c>
      <c r="G59" s="108"/>
      <c r="H59" s="108"/>
      <c r="I59" s="127" t="s">
        <v>80</v>
      </c>
      <c r="J59" s="108" t="s">
        <v>2</v>
      </c>
      <c r="K59" s="131" t="s">
        <v>18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" customHeight="1" x14ac:dyDescent="0.2">
      <c r="B60" s="124"/>
      <c r="C60" s="108"/>
      <c r="D60" s="108"/>
      <c r="E60" s="109"/>
      <c r="F60" s="110" t="s">
        <v>56</v>
      </c>
      <c r="G60" s="111" t="s">
        <v>33</v>
      </c>
      <c r="H60" s="109"/>
      <c r="I60" s="128"/>
      <c r="J60" s="108"/>
      <c r="K60" s="131"/>
      <c r="L60" s="11"/>
      <c r="M60" s="12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57.75" customHeight="1" x14ac:dyDescent="0.2">
      <c r="B61" s="124"/>
      <c r="C61" s="108"/>
      <c r="D61" s="108"/>
      <c r="E61" s="109"/>
      <c r="F61" s="109"/>
      <c r="G61" s="18" t="s">
        <v>51</v>
      </c>
      <c r="H61" s="18" t="s">
        <v>52</v>
      </c>
      <c r="I61" s="129"/>
      <c r="J61" s="108"/>
      <c r="K61" s="131"/>
      <c r="L61" s="11"/>
      <c r="M61" s="10"/>
      <c r="N61" s="2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">
      <c r="B62" s="124"/>
      <c r="C62" s="121" t="s">
        <v>74</v>
      </c>
      <c r="D62" s="122"/>
      <c r="E62" s="122"/>
      <c r="F62" s="122"/>
      <c r="G62" s="122"/>
      <c r="H62" s="122"/>
      <c r="I62" s="123"/>
      <c r="J62" s="126" t="s">
        <v>4</v>
      </c>
      <c r="K62" s="126"/>
      <c r="N62" s="2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B63" s="17">
        <v>1</v>
      </c>
      <c r="C63" s="19">
        <v>2</v>
      </c>
      <c r="D63" s="19">
        <v>3</v>
      </c>
      <c r="E63" s="19">
        <v>4</v>
      </c>
      <c r="F63" s="17">
        <v>5</v>
      </c>
      <c r="G63" s="17">
        <v>6</v>
      </c>
      <c r="H63" s="19">
        <v>7</v>
      </c>
      <c r="I63" s="19">
        <v>8</v>
      </c>
      <c r="J63" s="17">
        <v>9</v>
      </c>
      <c r="K63" s="19">
        <v>10</v>
      </c>
      <c r="M63" s="10"/>
      <c r="N63" s="2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5.5" customHeight="1" x14ac:dyDescent="0.2">
      <c r="B64" s="84" t="s">
        <v>61</v>
      </c>
      <c r="C64" s="57">
        <f>189899320608.05</f>
        <v>189899320608.04999</v>
      </c>
      <c r="D64" s="68">
        <f>37655802471.72</f>
        <v>37655802471.720001</v>
      </c>
      <c r="E64" s="68">
        <f>107792864889.92</f>
        <v>107792864889.92</v>
      </c>
      <c r="F64" s="57">
        <f>4031121308.2</f>
        <v>4031121308.1999998</v>
      </c>
      <c r="G64" s="57">
        <f>9655515</f>
        <v>9655515</v>
      </c>
      <c r="H64" s="57">
        <f>11597838.97</f>
        <v>11597838.970000001</v>
      </c>
      <c r="I64" s="69">
        <f>0</f>
        <v>0</v>
      </c>
      <c r="J64" s="52">
        <f>IF($D$64=0,"",100*$D64/$D$64)</f>
        <v>100</v>
      </c>
      <c r="K64" s="52">
        <f>IF(C64=0,"",100*D64/C64)</f>
        <v>19.829350811339207</v>
      </c>
      <c r="N64" s="77"/>
    </row>
    <row r="65" spans="2:14" ht="13.5" customHeight="1" x14ac:dyDescent="0.2">
      <c r="B65" s="85" t="s">
        <v>14</v>
      </c>
      <c r="C65" s="26">
        <f>61076990735.2201</f>
        <v>61076990735.2201</v>
      </c>
      <c r="D65" s="26">
        <f>4377949487.46</f>
        <v>4377949487.46</v>
      </c>
      <c r="E65" s="26">
        <f>24010511058.97</f>
        <v>24010511058.970001</v>
      </c>
      <c r="F65" s="26">
        <f>938672664.09</f>
        <v>938672664.09000003</v>
      </c>
      <c r="G65" s="26">
        <f>3385672.33</f>
        <v>3385672.33</v>
      </c>
      <c r="H65" s="26">
        <f>2572119.7</f>
        <v>2572119.7000000002</v>
      </c>
      <c r="I65" s="70">
        <f>0</f>
        <v>0</v>
      </c>
      <c r="J65" s="52">
        <f t="shared" ref="J65:J73" si="6">IF($D$64=0,"",100*$D65/$D$64)</f>
        <v>11.62622809790841</v>
      </c>
      <c r="K65" s="52">
        <f t="shared" ref="K65:K73" si="7">IF(C65=0,"",100*D65/C65)</f>
        <v>7.1679194321134938</v>
      </c>
      <c r="N65" s="61"/>
    </row>
    <row r="66" spans="2:14" ht="13.5" customHeight="1" outlineLevel="1" x14ac:dyDescent="0.2">
      <c r="B66" s="32" t="s">
        <v>13</v>
      </c>
      <c r="C66" s="22">
        <f>60163158897.49</f>
        <v>60163158897.489998</v>
      </c>
      <c r="D66" s="22">
        <f>4180009543.54</f>
        <v>4180009543.54</v>
      </c>
      <c r="E66" s="22">
        <f>23705484790.87</f>
        <v>23705484790.869999</v>
      </c>
      <c r="F66" s="22">
        <f>936868250.49</f>
        <v>936868250.49000001</v>
      </c>
      <c r="G66" s="22">
        <f>3385672.33</f>
        <v>3385672.33</v>
      </c>
      <c r="H66" s="22">
        <f>2572119.7</f>
        <v>2572119.7000000002</v>
      </c>
      <c r="I66" s="66">
        <f>0</f>
        <v>0</v>
      </c>
      <c r="J66" s="52">
        <f t="shared" si="6"/>
        <v>11.100572207110025</v>
      </c>
      <c r="K66" s="52">
        <f t="shared" si="7"/>
        <v>6.9477893450744155</v>
      </c>
      <c r="N66" s="76"/>
    </row>
    <row r="67" spans="2:14" ht="27" customHeight="1" x14ac:dyDescent="0.2">
      <c r="B67" s="85" t="s">
        <v>62</v>
      </c>
      <c r="C67" s="26">
        <f t="shared" ref="C67:I67" si="8">C64-C65</f>
        <v>128822329872.8299</v>
      </c>
      <c r="D67" s="26">
        <f>D64-D65</f>
        <v>33277852984.260002</v>
      </c>
      <c r="E67" s="26">
        <f>E64-E65</f>
        <v>83782353830.949997</v>
      </c>
      <c r="F67" s="26">
        <f t="shared" si="8"/>
        <v>3092448644.1099997</v>
      </c>
      <c r="G67" s="26">
        <f t="shared" si="8"/>
        <v>6269842.6699999999</v>
      </c>
      <c r="H67" s="26">
        <f t="shared" si="8"/>
        <v>9025719.2699999996</v>
      </c>
      <c r="I67" s="70">
        <f t="shared" si="8"/>
        <v>0</v>
      </c>
      <c r="J67" s="52">
        <f t="shared" si="6"/>
        <v>88.37377190209159</v>
      </c>
      <c r="K67" s="52">
        <f t="shared" si="7"/>
        <v>25.832363858898564</v>
      </c>
      <c r="N67" s="61"/>
    </row>
    <row r="68" spans="2:14" ht="22.5" outlineLevel="1" x14ac:dyDescent="0.2">
      <c r="B68" s="32" t="s">
        <v>96</v>
      </c>
      <c r="C68" s="22">
        <f>57405194332.36</f>
        <v>57405194332.360001</v>
      </c>
      <c r="D68" s="22">
        <f>15968788912.89</f>
        <v>15968788912.889999</v>
      </c>
      <c r="E68" s="22">
        <f>46753234402.0399</f>
        <v>46753234402.039902</v>
      </c>
      <c r="F68" s="22">
        <f>1296744501.69</f>
        <v>1296744501.6900001</v>
      </c>
      <c r="G68" s="22">
        <f>888655.1</f>
        <v>888655.1</v>
      </c>
      <c r="H68" s="22">
        <f>132878.52</f>
        <v>132878.51999999999</v>
      </c>
      <c r="I68" s="66">
        <f>0</f>
        <v>0</v>
      </c>
      <c r="J68" s="52">
        <f t="shared" si="6"/>
        <v>42.407246333105682</v>
      </c>
      <c r="K68" s="52">
        <f t="shared" si="7"/>
        <v>27.817672422525362</v>
      </c>
      <c r="N68" s="76"/>
    </row>
    <row r="69" spans="2:14" ht="13.5" customHeight="1" outlineLevel="1" x14ac:dyDescent="0.2">
      <c r="B69" s="54" t="s">
        <v>50</v>
      </c>
      <c r="C69" s="59">
        <f>11406131264.02</f>
        <v>11406131264.02</v>
      </c>
      <c r="D69" s="59">
        <f>3123280407.51</f>
        <v>3123280407.5100002</v>
      </c>
      <c r="E69" s="59">
        <f>6392030009.95</f>
        <v>6392030009.9499998</v>
      </c>
      <c r="F69" s="59">
        <f>57710452.17</f>
        <v>57710452.170000002</v>
      </c>
      <c r="G69" s="59">
        <f>0</f>
        <v>0</v>
      </c>
      <c r="H69" s="59">
        <f>189669.11</f>
        <v>189669.11</v>
      </c>
      <c r="I69" s="71">
        <f>0</f>
        <v>0</v>
      </c>
      <c r="J69" s="52">
        <f t="shared" si="6"/>
        <v>8.2942872080753673</v>
      </c>
      <c r="K69" s="52">
        <f t="shared" si="7"/>
        <v>27.382469438715056</v>
      </c>
      <c r="N69" s="75"/>
    </row>
    <row r="70" spans="2:14" ht="13.5" customHeight="1" outlineLevel="1" x14ac:dyDescent="0.2">
      <c r="B70" s="54" t="s">
        <v>49</v>
      </c>
      <c r="C70" s="24">
        <f>2335200988.54</f>
        <v>2335200988.54</v>
      </c>
      <c r="D70" s="24">
        <f>392114232.01</f>
        <v>392114232.00999999</v>
      </c>
      <c r="E70" s="24">
        <f>788108907.69</f>
        <v>788108907.69000006</v>
      </c>
      <c r="F70" s="24">
        <f>94180154.68</f>
        <v>94180154.680000007</v>
      </c>
      <c r="G70" s="24">
        <f>0</f>
        <v>0</v>
      </c>
      <c r="H70" s="24">
        <f>373036.16</f>
        <v>373036.16</v>
      </c>
      <c r="I70" s="72">
        <f>0</f>
        <v>0</v>
      </c>
      <c r="J70" s="52">
        <f t="shared" si="6"/>
        <v>1.0413115808765008</v>
      </c>
      <c r="K70" s="52">
        <f t="shared" si="7"/>
        <v>16.791455379399924</v>
      </c>
      <c r="N70" s="76"/>
    </row>
    <row r="71" spans="2:14" ht="24" customHeight="1" outlineLevel="1" x14ac:dyDescent="0.2">
      <c r="B71" s="54" t="s">
        <v>68</v>
      </c>
      <c r="C71" s="59">
        <f>116671501.15</f>
        <v>116671501.15000001</v>
      </c>
      <c r="D71" s="59">
        <f>305125.5</f>
        <v>305125.5</v>
      </c>
      <c r="E71" s="59">
        <f>4573138.4</f>
        <v>4573138.4000000004</v>
      </c>
      <c r="F71" s="59">
        <f>0</f>
        <v>0</v>
      </c>
      <c r="G71" s="59">
        <f>0</f>
        <v>0</v>
      </c>
      <c r="H71" s="59">
        <f>0</f>
        <v>0</v>
      </c>
      <c r="I71" s="71">
        <f>0</f>
        <v>0</v>
      </c>
      <c r="J71" s="52">
        <f t="shared" si="6"/>
        <v>8.1030141431497375E-4</v>
      </c>
      <c r="K71" s="52">
        <f t="shared" si="7"/>
        <v>0.26152530565944465</v>
      </c>
      <c r="N71" s="75"/>
    </row>
    <row r="72" spans="2:14" ht="22.5" outlineLevel="1" x14ac:dyDescent="0.2">
      <c r="B72" s="54" t="s">
        <v>69</v>
      </c>
      <c r="C72" s="59">
        <f>14848848478.67</f>
        <v>14848848478.67</v>
      </c>
      <c r="D72" s="59">
        <f>4078386851.4</f>
        <v>4078386851.4000001</v>
      </c>
      <c r="E72" s="59">
        <f>8897349366.97</f>
        <v>8897349366.9699993</v>
      </c>
      <c r="F72" s="59">
        <f>211246183.42</f>
        <v>211246183.41999999</v>
      </c>
      <c r="G72" s="59">
        <f>24550.39</f>
        <v>24550.39</v>
      </c>
      <c r="H72" s="59">
        <f>55369.88</f>
        <v>55369.88</v>
      </c>
      <c r="I72" s="73">
        <f>0</f>
        <v>0</v>
      </c>
      <c r="J72" s="52">
        <f t="shared" si="6"/>
        <v>10.830699609875323</v>
      </c>
      <c r="K72" s="52">
        <f t="shared" si="7"/>
        <v>27.466014332751129</v>
      </c>
      <c r="N72" s="75"/>
    </row>
    <row r="73" spans="2:14" ht="13.5" customHeight="1" outlineLevel="1" x14ac:dyDescent="0.2">
      <c r="B73" s="54" t="s">
        <v>48</v>
      </c>
      <c r="C73" s="24">
        <f t="shared" ref="C73:I73" si="9">C67-C68-C69-C70-C71-C72</f>
        <v>42710283308.08989</v>
      </c>
      <c r="D73" s="24">
        <f>D67-D68-D69-D70-D71-D72</f>
        <v>9714977454.9500027</v>
      </c>
      <c r="E73" s="24">
        <f>E67-E68-E69-E70-E71-E72</f>
        <v>20947058005.900093</v>
      </c>
      <c r="F73" s="24">
        <f t="shared" si="9"/>
        <v>1432567352.1499994</v>
      </c>
      <c r="G73" s="24">
        <f t="shared" si="9"/>
        <v>5356637.1800000006</v>
      </c>
      <c r="H73" s="24">
        <f t="shared" si="9"/>
        <v>8274765.6000000006</v>
      </c>
      <c r="I73" s="71">
        <f t="shared" si="9"/>
        <v>0</v>
      </c>
      <c r="J73" s="52">
        <f t="shared" si="6"/>
        <v>25.799416868744405</v>
      </c>
      <c r="K73" s="52">
        <f t="shared" si="7"/>
        <v>22.746225738825427</v>
      </c>
      <c r="N73" s="76"/>
    </row>
    <row r="74" spans="2:14" ht="18" customHeight="1" x14ac:dyDescent="0.2">
      <c r="B74" s="84" t="s">
        <v>15</v>
      </c>
      <c r="C74" s="26">
        <f>C6-C64</f>
        <v>-23995016615.98999</v>
      </c>
      <c r="D74" s="26">
        <f>D6-D64</f>
        <v>4196999581.6699982</v>
      </c>
      <c r="E74" s="81"/>
      <c r="F74" s="61"/>
      <c r="G74" s="61"/>
      <c r="H74" s="61"/>
      <c r="I74" s="82"/>
      <c r="J74" s="28"/>
      <c r="K74" s="28"/>
      <c r="L74" s="13"/>
      <c r="N74" s="61"/>
    </row>
    <row r="75" spans="2:14" ht="38.25" x14ac:dyDescent="0.2">
      <c r="B75" s="87" t="s">
        <v>101</v>
      </c>
      <c r="C75" s="26">
        <f>+C55-C67</f>
        <v>-2656972666.0498962</v>
      </c>
      <c r="D75" s="26">
        <f>+D55-D67</f>
        <v>5712899964.0499954</v>
      </c>
      <c r="E75" s="81"/>
      <c r="F75" s="61"/>
      <c r="G75" s="61"/>
      <c r="H75" s="61"/>
      <c r="I75" s="61"/>
      <c r="J75" s="28"/>
      <c r="K75" s="28"/>
      <c r="L75" s="13"/>
      <c r="N75" s="61"/>
    </row>
    <row r="76" spans="2:14" x14ac:dyDescent="0.2">
      <c r="B76" s="60"/>
      <c r="C76" s="61"/>
      <c r="D76" s="61"/>
      <c r="E76" s="61"/>
      <c r="F76" s="61"/>
      <c r="G76" s="61"/>
      <c r="H76" s="61"/>
      <c r="I76" s="61"/>
      <c r="J76" s="61"/>
      <c r="K76" s="28"/>
      <c r="L76" s="28"/>
      <c r="M76" s="13"/>
    </row>
    <row r="77" spans="2:14" ht="14.25" customHeight="1" x14ac:dyDescent="0.2">
      <c r="B77" s="103" t="s">
        <v>106</v>
      </c>
      <c r="C77" s="104"/>
      <c r="D77" s="104"/>
      <c r="E77" s="104"/>
      <c r="F77" s="104"/>
      <c r="G77" s="61"/>
      <c r="H77" s="61"/>
      <c r="I77" s="61"/>
      <c r="J77" s="61"/>
      <c r="K77" s="28"/>
      <c r="L77" s="28"/>
      <c r="M77" s="13"/>
    </row>
    <row r="78" spans="2:14" ht="27" customHeight="1" x14ac:dyDescent="0.2">
      <c r="B78" s="84" t="s">
        <v>102</v>
      </c>
      <c r="C78" s="41">
        <f>9208978203.04001</f>
        <v>9208978203.0400105</v>
      </c>
      <c r="D78" s="41">
        <f>1055848058.12</f>
        <v>1055848058.12</v>
      </c>
      <c r="E78" s="41">
        <f>3894619619.22999</f>
        <v>3894619619.22999</v>
      </c>
      <c r="F78" s="41">
        <f>197019825.55</f>
        <v>197019825.55000001</v>
      </c>
      <c r="G78" s="41">
        <f>3233.33</f>
        <v>3233.33</v>
      </c>
      <c r="H78" s="41">
        <f>44058.77</f>
        <v>44058.77</v>
      </c>
      <c r="I78" s="41">
        <f>0</f>
        <v>0</v>
      </c>
      <c r="J78" s="62">
        <f>IF($D$78=0,"",100*$D78/$D$78)</f>
        <v>100</v>
      </c>
      <c r="K78" s="62">
        <f>IF(C78=0,"",100*D78/C78)</f>
        <v>11.465420319612114</v>
      </c>
      <c r="L78" s="13"/>
    </row>
    <row r="79" spans="2:14" ht="15" customHeight="1" x14ac:dyDescent="0.2">
      <c r="B79" s="88" t="s">
        <v>72</v>
      </c>
      <c r="C79" s="22">
        <f>8169163643.9</f>
        <v>8169163643.8999996</v>
      </c>
      <c r="D79" s="22">
        <f>819688476.34</f>
        <v>819688476.34000003</v>
      </c>
      <c r="E79" s="22">
        <f>3467785278.79</f>
        <v>3467785278.79</v>
      </c>
      <c r="F79" s="22">
        <f>184103633.16</f>
        <v>184103633.16</v>
      </c>
      <c r="G79" s="22">
        <f>3233.33</f>
        <v>3233.33</v>
      </c>
      <c r="H79" s="22">
        <f>38179.2</f>
        <v>38179.199999999997</v>
      </c>
      <c r="I79" s="22">
        <f>0</f>
        <v>0</v>
      </c>
      <c r="J79" s="62">
        <f>IF($D$78=0,"",100*$D79/$D$78)</f>
        <v>77.633185005757724</v>
      </c>
      <c r="K79" s="62">
        <f>IF(C79=0,"",100*D79/C79)</f>
        <v>10.033933852605218</v>
      </c>
      <c r="L79" s="13"/>
    </row>
    <row r="80" spans="2:14" ht="14.25" customHeight="1" x14ac:dyDescent="0.2">
      <c r="B80" s="89" t="s">
        <v>73</v>
      </c>
      <c r="C80" s="22">
        <f>+C78-C79</f>
        <v>1039814559.1400108</v>
      </c>
      <c r="D80" s="22">
        <f t="shared" ref="D80:I80" si="10">+D78-D79</f>
        <v>236159581.77999997</v>
      </c>
      <c r="E80" s="22">
        <f t="shared" si="10"/>
        <v>426834340.43999004</v>
      </c>
      <c r="F80" s="22">
        <f t="shared" si="10"/>
        <v>12916192.390000015</v>
      </c>
      <c r="G80" s="22">
        <f t="shared" si="10"/>
        <v>0</v>
      </c>
      <c r="H80" s="22">
        <f t="shared" si="10"/>
        <v>5879.57</v>
      </c>
      <c r="I80" s="22">
        <f t="shared" si="10"/>
        <v>0</v>
      </c>
      <c r="J80" s="62">
        <f>IF($D$78=0,"",100*$D80/$D$78)</f>
        <v>22.366814994242265</v>
      </c>
      <c r="K80" s="62">
        <f>IF(C80=0,"",100*D80/C80)</f>
        <v>22.711701784144871</v>
      </c>
      <c r="L80" s="10"/>
    </row>
    <row r="81" spans="2:13" ht="15" x14ac:dyDescent="0.2">
      <c r="B81" s="91" t="str">
        <f>CONCATENATE("Informacja z wykonania budżetów gmin za ",$D$117," ",$C$118," rok     ",$C$120,"")</f>
        <v xml:space="preserve">Informacja z wykonania budżetów gmin za I Kwartał 2023 rok     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3" spans="2:13" ht="18" customHeight="1" x14ac:dyDescent="0.2">
      <c r="B83" s="40" t="s">
        <v>16</v>
      </c>
      <c r="C83" s="67" t="s">
        <v>17</v>
      </c>
      <c r="D83" s="67" t="s">
        <v>1</v>
      </c>
      <c r="E83" s="112" t="s">
        <v>57</v>
      </c>
      <c r="F83" s="113"/>
      <c r="G83" s="113"/>
      <c r="H83" s="113"/>
      <c r="I83" s="114"/>
      <c r="J83" s="19" t="s">
        <v>26</v>
      </c>
      <c r="K83" s="19" t="s">
        <v>27</v>
      </c>
    </row>
    <row r="84" spans="2:13" ht="13.5" customHeight="1" x14ac:dyDescent="0.2">
      <c r="B84" s="40"/>
      <c r="C84" s="110" t="s">
        <v>74</v>
      </c>
      <c r="D84" s="125"/>
      <c r="E84" s="115"/>
      <c r="F84" s="116"/>
      <c r="G84" s="116"/>
      <c r="H84" s="116"/>
      <c r="I84" s="117"/>
      <c r="J84" s="110" t="s">
        <v>4</v>
      </c>
      <c r="K84" s="130"/>
      <c r="M84" s="14"/>
    </row>
    <row r="85" spans="2:13" ht="11.25" customHeight="1" x14ac:dyDescent="0.2">
      <c r="B85" s="39">
        <v>1</v>
      </c>
      <c r="C85" s="42">
        <v>2</v>
      </c>
      <c r="D85" s="42">
        <v>3</v>
      </c>
      <c r="E85" s="118"/>
      <c r="F85" s="119"/>
      <c r="G85" s="119"/>
      <c r="H85" s="119"/>
      <c r="I85" s="120"/>
      <c r="J85" s="31">
        <v>4</v>
      </c>
      <c r="K85" s="31">
        <v>5</v>
      </c>
      <c r="M85" s="10"/>
    </row>
    <row r="86" spans="2:13" ht="27" customHeight="1" x14ac:dyDescent="0.2">
      <c r="B86" s="90" t="s">
        <v>63</v>
      </c>
      <c r="C86" s="43">
        <f>28593962130.74</f>
        <v>28593962130.740002</v>
      </c>
      <c r="D86" s="43">
        <f>24117581480.05</f>
        <v>24117581480.049999</v>
      </c>
      <c r="E86" s="43" t="s">
        <v>57</v>
      </c>
      <c r="F86" s="43" t="s">
        <v>57</v>
      </c>
      <c r="G86" s="43" t="s">
        <v>57</v>
      </c>
      <c r="H86" s="43" t="s">
        <v>57</v>
      </c>
      <c r="I86" s="43" t="s">
        <v>57</v>
      </c>
      <c r="J86" s="37">
        <f t="shared" ref="J86:J96" si="11">IF($D$86=0,"",100*$D86/$D$86)</f>
        <v>100</v>
      </c>
      <c r="K86" s="36">
        <f t="shared" ref="K86:K101" si="12">IF(C86=0,"",100*D86/C86)</f>
        <v>84.345014411704568</v>
      </c>
    </row>
    <row r="87" spans="2:13" ht="36" customHeight="1" x14ac:dyDescent="0.2">
      <c r="B87" s="98" t="s">
        <v>103</v>
      </c>
      <c r="C87" s="44">
        <f>11948915234.97</f>
        <v>11948915234.969999</v>
      </c>
      <c r="D87" s="44">
        <f>319536260.8</f>
        <v>319536260.80000001</v>
      </c>
      <c r="E87" s="43" t="s">
        <v>57</v>
      </c>
      <c r="F87" s="43" t="s">
        <v>57</v>
      </c>
      <c r="G87" s="43" t="s">
        <v>57</v>
      </c>
      <c r="H87" s="43" t="s">
        <v>57</v>
      </c>
      <c r="I87" s="43" t="s">
        <v>57</v>
      </c>
      <c r="J87" s="50">
        <f t="shared" si="11"/>
        <v>1.3249100498087654</v>
      </c>
      <c r="K87" s="51">
        <f t="shared" si="12"/>
        <v>2.6741863551332012</v>
      </c>
    </row>
    <row r="88" spans="2:13" ht="22.5" x14ac:dyDescent="0.2">
      <c r="B88" s="99" t="s">
        <v>81</v>
      </c>
      <c r="C88" s="63">
        <f>559830221.44</f>
        <v>559830221.44000006</v>
      </c>
      <c r="D88" s="63">
        <f>7700000</f>
        <v>7700000</v>
      </c>
      <c r="E88" s="43" t="s">
        <v>57</v>
      </c>
      <c r="F88" s="43" t="s">
        <v>57</v>
      </c>
      <c r="G88" s="43" t="s">
        <v>57</v>
      </c>
      <c r="H88" s="43" t="s">
        <v>57</v>
      </c>
      <c r="I88" s="43" t="s">
        <v>57</v>
      </c>
      <c r="J88" s="64">
        <f t="shared" si="11"/>
        <v>3.1926916081404848E-2</v>
      </c>
      <c r="K88" s="58">
        <f t="shared" si="12"/>
        <v>1.3754169934223976</v>
      </c>
    </row>
    <row r="89" spans="2:13" ht="13.5" customHeight="1" x14ac:dyDescent="0.2">
      <c r="B89" s="100" t="s">
        <v>82</v>
      </c>
      <c r="C89" s="63">
        <f>156826431.52</f>
        <v>156826431.52000001</v>
      </c>
      <c r="D89" s="63">
        <f>42362929.45</f>
        <v>42362929.450000003</v>
      </c>
      <c r="E89" s="43" t="s">
        <v>57</v>
      </c>
      <c r="F89" s="43" t="s">
        <v>57</v>
      </c>
      <c r="G89" s="43" t="s">
        <v>57</v>
      </c>
      <c r="H89" s="43" t="s">
        <v>57</v>
      </c>
      <c r="I89" s="43" t="s">
        <v>57</v>
      </c>
      <c r="J89" s="64">
        <f t="shared" si="11"/>
        <v>0.175651648508133</v>
      </c>
      <c r="K89" s="58">
        <f t="shared" si="12"/>
        <v>27.012620920726285</v>
      </c>
    </row>
    <row r="90" spans="2:13" ht="50.1" customHeight="1" x14ac:dyDescent="0.2">
      <c r="B90" s="100" t="s">
        <v>97</v>
      </c>
      <c r="C90" s="63">
        <f>4137593452.87</f>
        <v>4137593452.8699999</v>
      </c>
      <c r="D90" s="63">
        <f>7127037993.95</f>
        <v>7127037993.9499998</v>
      </c>
      <c r="E90" s="43" t="s">
        <v>57</v>
      </c>
      <c r="F90" s="43" t="s">
        <v>57</v>
      </c>
      <c r="G90" s="43" t="s">
        <v>57</v>
      </c>
      <c r="H90" s="43" t="s">
        <v>57</v>
      </c>
      <c r="I90" s="43" t="s">
        <v>57</v>
      </c>
      <c r="J90" s="64">
        <f t="shared" si="11"/>
        <v>29.551213498938388</v>
      </c>
      <c r="K90" s="58">
        <f t="shared" si="12"/>
        <v>172.25080412398665</v>
      </c>
    </row>
    <row r="91" spans="2:13" ht="35.1" customHeight="1" x14ac:dyDescent="0.2">
      <c r="B91" s="100" t="s">
        <v>113</v>
      </c>
      <c r="C91" s="63">
        <f>3324732157.72</f>
        <v>3324732157.7199998</v>
      </c>
      <c r="D91" s="63">
        <f>4024421471.7</f>
        <v>4024421471.6999998</v>
      </c>
      <c r="E91" s="43" t="s">
        <v>57</v>
      </c>
      <c r="F91" s="43" t="s">
        <v>57</v>
      </c>
      <c r="G91" s="43" t="s">
        <v>57</v>
      </c>
      <c r="H91" s="43" t="s">
        <v>57</v>
      </c>
      <c r="I91" s="43" t="s">
        <v>57</v>
      </c>
      <c r="J91" s="64">
        <f t="shared" si="11"/>
        <v>16.686670987424634</v>
      </c>
      <c r="K91" s="58">
        <f t="shared" si="12"/>
        <v>121.04498289750431</v>
      </c>
    </row>
    <row r="92" spans="2:13" ht="13.5" customHeight="1" x14ac:dyDescent="0.2">
      <c r="B92" s="100" t="s">
        <v>83</v>
      </c>
      <c r="C92" s="63">
        <f>0</f>
        <v>0</v>
      </c>
      <c r="D92" s="63">
        <f>0</f>
        <v>0</v>
      </c>
      <c r="E92" s="43" t="s">
        <v>57</v>
      </c>
      <c r="F92" s="43" t="s">
        <v>57</v>
      </c>
      <c r="G92" s="43" t="s">
        <v>57</v>
      </c>
      <c r="H92" s="43" t="s">
        <v>57</v>
      </c>
      <c r="I92" s="43" t="s">
        <v>57</v>
      </c>
      <c r="J92" s="64">
        <f t="shared" si="11"/>
        <v>0</v>
      </c>
      <c r="K92" s="58" t="str">
        <f t="shared" si="12"/>
        <v/>
      </c>
    </row>
    <row r="93" spans="2:13" ht="35.1" customHeight="1" x14ac:dyDescent="0.2">
      <c r="B93" s="100" t="s">
        <v>91</v>
      </c>
      <c r="C93" s="63">
        <f>8541116871.46</f>
        <v>8541116871.46</v>
      </c>
      <c r="D93" s="63">
        <f>12122085726.29</f>
        <v>12122085726.290001</v>
      </c>
      <c r="E93" s="43" t="s">
        <v>57</v>
      </c>
      <c r="F93" s="43" t="s">
        <v>57</v>
      </c>
      <c r="G93" s="43" t="s">
        <v>57</v>
      </c>
      <c r="H93" s="43" t="s">
        <v>57</v>
      </c>
      <c r="I93" s="43" t="s">
        <v>57</v>
      </c>
      <c r="J93" s="64">
        <f t="shared" si="11"/>
        <v>50.262443339591734</v>
      </c>
      <c r="K93" s="58">
        <f t="shared" si="12"/>
        <v>141.92623644801944</v>
      </c>
    </row>
    <row r="94" spans="2:13" ht="56.25" x14ac:dyDescent="0.2">
      <c r="B94" s="100" t="s">
        <v>114</v>
      </c>
      <c r="C94" s="63">
        <f>0</f>
        <v>0</v>
      </c>
      <c r="D94" s="63">
        <f>46209560.31</f>
        <v>46209560.310000002</v>
      </c>
      <c r="E94" s="43" t="s">
        <v>57</v>
      </c>
      <c r="F94" s="43" t="s">
        <v>57</v>
      </c>
      <c r="G94" s="43" t="s">
        <v>57</v>
      </c>
      <c r="H94" s="43" t="s">
        <v>57</v>
      </c>
      <c r="I94" s="43" t="s">
        <v>57</v>
      </c>
      <c r="J94" s="64"/>
      <c r="K94" s="58"/>
    </row>
    <row r="95" spans="2:13" x14ac:dyDescent="0.2">
      <c r="B95" s="100" t="s">
        <v>108</v>
      </c>
      <c r="C95" s="63">
        <f>484777982.2</f>
        <v>484777982.19999999</v>
      </c>
      <c r="D95" s="63">
        <f>435927537.55</f>
        <v>435927537.55000001</v>
      </c>
      <c r="E95" s="43" t="s">
        <v>57</v>
      </c>
      <c r="F95" s="43" t="s">
        <v>57</v>
      </c>
      <c r="G95" s="43" t="s">
        <v>57</v>
      </c>
      <c r="H95" s="43" t="s">
        <v>57</v>
      </c>
      <c r="I95" s="43" t="s">
        <v>57</v>
      </c>
      <c r="J95" s="64"/>
      <c r="K95" s="58"/>
    </row>
    <row r="96" spans="2:13" ht="22.5" x14ac:dyDescent="0.2">
      <c r="B96" s="99" t="s">
        <v>109</v>
      </c>
      <c r="C96" s="63">
        <f>412953442.2</f>
        <v>412953442.19999999</v>
      </c>
      <c r="D96" s="63">
        <f>422698083.62</f>
        <v>422698083.62</v>
      </c>
      <c r="E96" s="43" t="s">
        <v>57</v>
      </c>
      <c r="F96" s="43" t="s">
        <v>57</v>
      </c>
      <c r="G96" s="43" t="s">
        <v>57</v>
      </c>
      <c r="H96" s="43" t="s">
        <v>57</v>
      </c>
      <c r="I96" s="43" t="s">
        <v>57</v>
      </c>
      <c r="J96" s="64">
        <f t="shared" si="11"/>
        <v>1.7526553562995308</v>
      </c>
      <c r="K96" s="58">
        <f t="shared" si="12"/>
        <v>102.35974335704424</v>
      </c>
    </row>
    <row r="97" spans="2:11" ht="27" customHeight="1" x14ac:dyDescent="0.2">
      <c r="B97" s="90" t="s">
        <v>64</v>
      </c>
      <c r="C97" s="49">
        <f>4595814309.75</f>
        <v>4595814309.75</v>
      </c>
      <c r="D97" s="49">
        <f>2083840074.08</f>
        <v>2083840074.0799999</v>
      </c>
      <c r="E97" s="43" t="s">
        <v>57</v>
      </c>
      <c r="F97" s="43" t="s">
        <v>57</v>
      </c>
      <c r="G97" s="43" t="s">
        <v>57</v>
      </c>
      <c r="H97" s="43" t="s">
        <v>57</v>
      </c>
      <c r="I97" s="43" t="s">
        <v>57</v>
      </c>
      <c r="J97" s="37">
        <f t="shared" ref="J97:J102" si="13">IF($D$97=0,"",100*$D97/$D$97)</f>
        <v>100</v>
      </c>
      <c r="K97" s="36">
        <f t="shared" si="12"/>
        <v>45.342129460260011</v>
      </c>
    </row>
    <row r="98" spans="2:11" ht="36" customHeight="1" x14ac:dyDescent="0.2">
      <c r="B98" s="98" t="s">
        <v>99</v>
      </c>
      <c r="C98" s="44">
        <f>4000435581.37</f>
        <v>4000435581.3699999</v>
      </c>
      <c r="D98" s="48">
        <f>1020077829.56</f>
        <v>1020077829.5599999</v>
      </c>
      <c r="E98" s="43" t="s">
        <v>57</v>
      </c>
      <c r="F98" s="43" t="s">
        <v>57</v>
      </c>
      <c r="G98" s="43" t="s">
        <v>57</v>
      </c>
      <c r="H98" s="43" t="s">
        <v>57</v>
      </c>
      <c r="I98" s="43" t="s">
        <v>57</v>
      </c>
      <c r="J98" s="50">
        <f t="shared" si="13"/>
        <v>48.951828993420087</v>
      </c>
      <c r="K98" s="51">
        <f t="shared" si="12"/>
        <v>25.499168998258469</v>
      </c>
    </row>
    <row r="99" spans="2:11" ht="13.5" customHeight="1" x14ac:dyDescent="0.2">
      <c r="B99" s="99" t="s">
        <v>84</v>
      </c>
      <c r="C99" s="63">
        <f>110228087</f>
        <v>110228087</v>
      </c>
      <c r="D99" s="63">
        <f>9929234</f>
        <v>9929234</v>
      </c>
      <c r="E99" s="43" t="s">
        <v>57</v>
      </c>
      <c r="F99" s="43" t="s">
        <v>57</v>
      </c>
      <c r="G99" s="43" t="s">
        <v>57</v>
      </c>
      <c r="H99" s="43" t="s">
        <v>57</v>
      </c>
      <c r="I99" s="43" t="s">
        <v>57</v>
      </c>
      <c r="J99" s="64">
        <f t="shared" si="13"/>
        <v>0.47648733333740517</v>
      </c>
      <c r="K99" s="58">
        <f t="shared" si="12"/>
        <v>9.0078983226843086</v>
      </c>
    </row>
    <row r="100" spans="2:11" ht="13.5" customHeight="1" x14ac:dyDescent="0.2">
      <c r="B100" s="100" t="s">
        <v>85</v>
      </c>
      <c r="C100" s="63">
        <f>84408873.06</f>
        <v>84408873.060000002</v>
      </c>
      <c r="D100" s="63">
        <f>43128005.82</f>
        <v>43128005.82</v>
      </c>
      <c r="E100" s="43" t="s">
        <v>57</v>
      </c>
      <c r="F100" s="43" t="s">
        <v>57</v>
      </c>
      <c r="G100" s="43" t="s">
        <v>57</v>
      </c>
      <c r="H100" s="43" t="s">
        <v>57</v>
      </c>
      <c r="I100" s="43" t="s">
        <v>57</v>
      </c>
      <c r="J100" s="64">
        <f t="shared" si="13"/>
        <v>2.0696408691075154</v>
      </c>
      <c r="K100" s="58">
        <f t="shared" si="12"/>
        <v>51.09416137962593</v>
      </c>
    </row>
    <row r="101" spans="2:11" ht="13.5" customHeight="1" x14ac:dyDescent="0.2">
      <c r="B101" s="100" t="s">
        <v>112</v>
      </c>
      <c r="C101" s="63">
        <f>510969855.32</f>
        <v>510969855.31999999</v>
      </c>
      <c r="D101" s="63">
        <f>1020634238.7</f>
        <v>1020634238.7</v>
      </c>
      <c r="E101" s="43" t="s">
        <v>57</v>
      </c>
      <c r="F101" s="43" t="s">
        <v>57</v>
      </c>
      <c r="G101" s="43" t="s">
        <v>57</v>
      </c>
      <c r="H101" s="43" t="s">
        <v>57</v>
      </c>
      <c r="I101" s="43" t="s">
        <v>57</v>
      </c>
      <c r="J101" s="64">
        <f t="shared" si="13"/>
        <v>48.978530137472404</v>
      </c>
      <c r="K101" s="58">
        <f t="shared" si="12"/>
        <v>199.74451096744593</v>
      </c>
    </row>
    <row r="102" spans="2:11" ht="22.5" x14ac:dyDescent="0.2">
      <c r="B102" s="99" t="s">
        <v>110</v>
      </c>
      <c r="C102" s="63">
        <f>37513366.34</f>
        <v>37513366.340000004</v>
      </c>
      <c r="D102" s="63">
        <f>41110575.61</f>
        <v>41110575.609999999</v>
      </c>
      <c r="E102" s="43" t="s">
        <v>57</v>
      </c>
      <c r="F102" s="43" t="s">
        <v>57</v>
      </c>
      <c r="G102" s="43" t="s">
        <v>57</v>
      </c>
      <c r="H102" s="43" t="s">
        <v>57</v>
      </c>
      <c r="I102" s="43" t="s">
        <v>57</v>
      </c>
      <c r="J102" s="64">
        <f t="shared" si="13"/>
        <v>1.9728277674163655</v>
      </c>
      <c r="K102" s="58">
        <f>IF(C102=0,"",100*D102/C102)</f>
        <v>109.58914014113508</v>
      </c>
    </row>
    <row r="103" spans="2:11" ht="7.5" customHeight="1" x14ac:dyDescent="0.2"/>
    <row r="104" spans="2:11" x14ac:dyDescent="0.2">
      <c r="B104" s="40" t="s">
        <v>16</v>
      </c>
      <c r="C104" s="67" t="s">
        <v>17</v>
      </c>
      <c r="D104" s="19" t="s">
        <v>1</v>
      </c>
    </row>
    <row r="105" spans="2:11" x14ac:dyDescent="0.2">
      <c r="B105" s="40"/>
      <c r="C105" s="110" t="s">
        <v>74</v>
      </c>
      <c r="D105" s="125"/>
    </row>
    <row r="106" spans="2:11" x14ac:dyDescent="0.2">
      <c r="B106" s="39">
        <v>1</v>
      </c>
      <c r="C106" s="42">
        <v>2</v>
      </c>
      <c r="D106" s="31">
        <v>3</v>
      </c>
    </row>
    <row r="107" spans="2:11" ht="37.5" customHeight="1" x14ac:dyDescent="0.2">
      <c r="B107" s="101" t="s">
        <v>111</v>
      </c>
      <c r="C107" s="47">
        <f>24069945129.35</f>
        <v>24069945129.349998</v>
      </c>
      <c r="D107" s="27">
        <f>0</f>
        <v>0</v>
      </c>
    </row>
    <row r="108" spans="2:11" ht="36" customHeight="1" x14ac:dyDescent="0.2">
      <c r="B108" s="102" t="s">
        <v>76</v>
      </c>
      <c r="C108" s="48">
        <f>479797000.54</f>
        <v>479797000.54000002</v>
      </c>
      <c r="D108" s="74">
        <f>0</f>
        <v>0</v>
      </c>
    </row>
    <row r="109" spans="2:11" ht="13.5" customHeight="1" x14ac:dyDescent="0.2">
      <c r="B109" s="102" t="s">
        <v>77</v>
      </c>
      <c r="C109" s="48">
        <f>9202166054.39</f>
        <v>9202166054.3899994</v>
      </c>
      <c r="D109" s="74">
        <f>0</f>
        <v>0</v>
      </c>
    </row>
    <row r="110" spans="2:11" ht="25.5" customHeight="1" x14ac:dyDescent="0.2">
      <c r="B110" s="102" t="s">
        <v>78</v>
      </c>
      <c r="C110" s="48">
        <f>0</f>
        <v>0</v>
      </c>
      <c r="D110" s="74">
        <f>0</f>
        <v>0</v>
      </c>
    </row>
    <row r="111" spans="2:11" ht="57.95" customHeight="1" x14ac:dyDescent="0.2">
      <c r="B111" s="102" t="s">
        <v>95</v>
      </c>
      <c r="C111" s="48">
        <f>3613276657.01</f>
        <v>3613276657.0100002</v>
      </c>
      <c r="D111" s="74">
        <f>0</f>
        <v>0</v>
      </c>
    </row>
    <row r="112" spans="2:11" ht="81.95" customHeight="1" x14ac:dyDescent="0.2">
      <c r="B112" s="102" t="s">
        <v>79</v>
      </c>
      <c r="C112" s="48">
        <f>7171896861.74</f>
        <v>7171896861.7399998</v>
      </c>
      <c r="D112" s="74">
        <f>0</f>
        <v>0</v>
      </c>
    </row>
    <row r="113" spans="2:4" ht="150.94999999999999" customHeight="1" x14ac:dyDescent="0.2">
      <c r="B113" s="97" t="s">
        <v>100</v>
      </c>
      <c r="C113" s="48">
        <f>3169778742.3</f>
        <v>3169778742.3000002</v>
      </c>
      <c r="D113" s="74">
        <f>0</f>
        <v>0</v>
      </c>
    </row>
    <row r="114" spans="2:4" ht="22.5" x14ac:dyDescent="0.2">
      <c r="B114" s="97" t="s">
        <v>94</v>
      </c>
      <c r="C114" s="48">
        <f>74285089.88</f>
        <v>74285089.879999995</v>
      </c>
      <c r="D114" s="74">
        <f>0</f>
        <v>0</v>
      </c>
    </row>
    <row r="115" spans="2:4" ht="22.5" x14ac:dyDescent="0.2">
      <c r="B115" s="97" t="s">
        <v>109</v>
      </c>
      <c r="C115" s="48">
        <f>358744723.49</f>
        <v>358744723.49000001</v>
      </c>
      <c r="D115" s="74">
        <f>0</f>
        <v>0</v>
      </c>
    </row>
    <row r="116" spans="2:4" ht="28.5" customHeight="1" x14ac:dyDescent="0.2"/>
    <row r="117" spans="2:4" x14ac:dyDescent="0.2">
      <c r="B117" s="65" t="s">
        <v>65</v>
      </c>
      <c r="C117" s="33">
        <f>1</f>
        <v>1</v>
      </c>
      <c r="D117" s="33" t="str">
        <f>IF(C117=1,"I Kwartał",IF(C117=2,"II Kwartały",IF(C117=3,"III Kwartały",IF(C117=4,"IV Kwartały",IF(C117="M1","Styczeń",IF(C117="M11","Listopad",IF(C117="M12","Grudzień","-")))))))</f>
        <v>I Kwartał</v>
      </c>
    </row>
    <row r="118" spans="2:4" x14ac:dyDescent="0.2">
      <c r="B118" s="65" t="s">
        <v>66</v>
      </c>
      <c r="C118" s="92">
        <f>2023</f>
        <v>2023</v>
      </c>
    </row>
    <row r="119" spans="2:4" x14ac:dyDescent="0.2">
      <c r="B119" s="65" t="s">
        <v>67</v>
      </c>
      <c r="C119" s="106" t="str">
        <f>"May 26 2023 12:00AM"</f>
        <v>May 26 2023 12:00AM</v>
      </c>
      <c r="D119" s="107"/>
    </row>
    <row r="120" spans="2:4" hidden="1" x14ac:dyDescent="0.2">
      <c r="B120" s="1" t="s">
        <v>107</v>
      </c>
      <c r="C120" s="1" t="str">
        <f>""</f>
        <v/>
      </c>
    </row>
  </sheetData>
  <mergeCells count="20">
    <mergeCell ref="B3:B4"/>
    <mergeCell ref="C105:D105"/>
    <mergeCell ref="B59:B62"/>
    <mergeCell ref="C84:D84"/>
    <mergeCell ref="J4:L4"/>
    <mergeCell ref="I59:I61"/>
    <mergeCell ref="J62:K62"/>
    <mergeCell ref="C4:I4"/>
    <mergeCell ref="J84:K84"/>
    <mergeCell ref="J59:J61"/>
    <mergeCell ref="K59:K61"/>
    <mergeCell ref="C119:D119"/>
    <mergeCell ref="D59:D61"/>
    <mergeCell ref="E59:E61"/>
    <mergeCell ref="F60:F61"/>
    <mergeCell ref="F59:H59"/>
    <mergeCell ref="G60:H60"/>
    <mergeCell ref="E83:I85"/>
    <mergeCell ref="C59:C61"/>
    <mergeCell ref="C62:I62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1" max="16383" man="1"/>
    <brk id="56" max="16383" man="1"/>
    <brk id="80" max="16383" man="1"/>
    <brk id="10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2022-10-25T14:00:45Z</cp:lastPrinted>
  <dcterms:created xsi:type="dcterms:W3CDTF">2001-05-17T08:58:03Z</dcterms:created>
  <dcterms:modified xsi:type="dcterms:W3CDTF">2023-06-01T13:57:13Z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2022-06-01T15:11:49.7443772+02:00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GRN-a157e64f-b2d8-4344-b63a-be4ab8451fe4</vt:lpwstr>
  </property>
  <property fmtid="{D5CDD505-2E9C-101B-9397-08002B2CF9AE}" pid="7" name="MFHash">
    <vt:lpwstr>lKoZPOlwMDvHqF38lv0pfu8g3MmyOnNc8oYSPpdBgYA=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