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'doch_wyd'!$A$1:$M$103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<sst xmlns="http://schemas.openxmlformats.org/spreadsheetml/2006/main" count="241" uniqueCount="104">
  <si>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</si>
  <si>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</si>
  <si>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</si>
  <si>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</si>
  <si>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</si>
  <si>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</si>
  <si>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</si>
  <si>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</si>
  <si>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</si>
  <si>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</si>
  <si>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</si>
  <si>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</si>
  <si>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</si>
  <si>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</si>
  <si>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</si>
  <si>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</si>
  <si>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</si>
  <si>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</si>
  <si>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</si>
  <si>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</si>
  <si>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</si>
  <si>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</si>
  <si>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</si>
  <si>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</si>
  <si>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</si>
  <si>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</si>
  <si>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</si>
  <si>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</si>
  <si>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</si>
  <si>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</si>
  <si>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</si>
  <si>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</si>
  <si>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</si>
  <si>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</si>
  <si>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</si>
  <si>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</si>
  <si>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</si>
  <si>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</si>
  <si>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</si>
  <si>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</si>
  <si>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</si>
  <si>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</si>
  <si>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</si>
  <si>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</si>
  <si>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</si>
  <si>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</si>
  <si>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</si>
  <si>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</si>
  <si>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</si>
  <si>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</si>
  <si>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</si>
  <si>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</si>
  <si>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</si>
  <si>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</si>
  <si>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</si>
  <si>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</si>
  <si>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</si>
  <si>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</si>
  <si>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</si>
  <si>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</si>
  <si>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</si>
  <si>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</si>
  <si>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</si>
  <si>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</si>
  <si>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</si>
  <si>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</si>
  <si>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</si>
  <si>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</si>
  <si>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</si>
  <si>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</si>
  <si>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</si>
  <si>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</si>
  <si>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</si>
  <si>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</si>
  <si>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</si>
  <si>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</si>
  <si>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</si>
  <si>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</si>
  <si>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</si>
  <si>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</si>
  <si>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</si>
  <si>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</si>
  <si>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</si>
  <si>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</si>
  <si>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</si>
  <si>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</si>
  <si>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</si>
  <si>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</si>
  <si>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</si>
  <si>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</si>
  <si>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</si>
  <si>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</si>
  <si>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</si>
  <si>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</si>
  <si>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</si>
  <si>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</si>
  <si>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</si>
  <si>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</si>
  <si>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</si>
  <si>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</si>
  <si>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 xml:space="preserve">Informacja z wykonania budżetów gmin za IV Kwartały 2020 rok    </t>
  </si>
  <si>
    <t>niewykorzystane środki pieniężne o których mowa w art.217 ust.2 pkt.8 ustawy o finansach publicznych</t>
  </si>
  <si>
    <t>wolne środki, o których mowa w art. 217 ust. 2 pkt 6 ustawy o finansach publicznych</t>
  </si>
  <si>
    <t>Dotacje ogółem                             z tego: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</si>
</sst>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2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1" t="s">
        <v>100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0.75" customHeight="1"/>
    <row r="3" spans="2:13" ht="63.75" customHeight="1">
      <c r="B3" s="105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5"/>
      <c r="C4" s="106" t="s">
        <v>77</v>
      </c>
      <c r="D4" s="106"/>
      <c r="E4" s="106"/>
      <c r="F4" s="106"/>
      <c r="G4" s="106"/>
      <c r="H4" s="106"/>
      <c r="I4" s="106"/>
      <c r="J4" s="106"/>
      <c r="K4" s="106" t="s">
        <v>4</v>
      </c>
      <c r="L4" s="106"/>
      <c r="M4" s="106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0" t="s">
        <v>5</v>
      </c>
      <c r="C6" s="49">
        <f>148825072548.11</f>
        <v>148825072548.11</v>
      </c>
      <c r="D6" s="49">
        <f>149090469522.94</f>
        <v>149090469522.94</v>
      </c>
      <c r="E6" s="49">
        <f>149013267774.3</f>
        <v>149013267774.3</v>
      </c>
      <c r="F6" s="49">
        <f>2758820999.47</f>
        <v>2758820999.47</v>
      </c>
      <c r="G6" s="49">
        <f>718076650.55</f>
        <v>718076650.55</v>
      </c>
      <c r="H6" s="49">
        <f>140138388.09</f>
        <v>140138388.09</v>
      </c>
      <c r="I6" s="49">
        <f>100165386.2</f>
        <v>100165386.2</v>
      </c>
      <c r="J6" s="49">
        <f>3127612.65</f>
        <v>3127612.65</v>
      </c>
      <c r="K6" s="50">
        <f aca="true" t="shared" si="0" ref="K6:K49">IF($D$6=0,"",100*$D6/$D$6)</f>
        <v>100</v>
      </c>
      <c r="L6" s="50">
        <f aca="true" t="shared" si="1" ref="L6:L45">IF(C6=0,"",100*D6/C6)</f>
        <v>100.17832813402072</v>
      </c>
      <c r="M6" s="50"/>
    </row>
    <row r="7" spans="2:13" ht="25.5" customHeight="1">
      <c r="B7" s="80" t="s">
        <v>61</v>
      </c>
      <c r="C7" s="25">
        <f>C6-C22-C40</f>
        <v>63144993940.08998</v>
      </c>
      <c r="D7" s="25">
        <f>D6-D22-D40</f>
        <v>65617629243.380005</v>
      </c>
      <c r="E7" s="25">
        <f>E6-E22-E40</f>
        <v>65612839951.84999</v>
      </c>
      <c r="F7" s="25">
        <f>F6</f>
        <v>2758820999.47</v>
      </c>
      <c r="G7" s="25">
        <f>G6</f>
        <v>718076650.55</v>
      </c>
      <c r="H7" s="25">
        <f>H6</f>
        <v>140138388.09</v>
      </c>
      <c r="I7" s="25">
        <f>I6</f>
        <v>100165386.2</v>
      </c>
      <c r="J7" s="25">
        <f>J6</f>
        <v>3127612.65</v>
      </c>
      <c r="K7" s="33">
        <f t="shared" si="0"/>
        <v>44.01195425391269</v>
      </c>
      <c r="L7" s="33">
        <f t="shared" si="1"/>
        <v>103.91580574959906</v>
      </c>
      <c r="M7" s="33">
        <f aca="true" t="shared" si="2" ref="M7:M21">IF($D$7=0,"",100*$D7/$D$7)</f>
        <v>99.99999999999999</v>
      </c>
    </row>
    <row r="8" spans="2:13" ht="22.5" customHeight="1">
      <c r="B8" s="32" t="s">
        <v>35</v>
      </c>
      <c r="C8" s="24">
        <f>1051760478.51</f>
        <v>1051760478.51</v>
      </c>
      <c r="D8" s="24">
        <f>1187080872.11</f>
        <v>1187080872.11</v>
      </c>
      <c r="E8" s="24">
        <f>1191588754.23</f>
        <v>1191588754.23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0.7962151275721538</v>
      </c>
      <c r="L8" s="34">
        <f t="shared" si="1"/>
        <v>112.86608466137695</v>
      </c>
      <c r="M8" s="34">
        <f t="shared" si="2"/>
        <v>1.809088328545124</v>
      </c>
    </row>
    <row r="9" spans="2:13" ht="22.5" customHeight="1">
      <c r="B9" s="32" t="s">
        <v>19</v>
      </c>
      <c r="C9" s="24">
        <f>23164377976.95</f>
        <v>23164377976.95</v>
      </c>
      <c r="D9" s="24">
        <f>22980318967</f>
        <v>22980318967</v>
      </c>
      <c r="E9" s="24">
        <f>22777436226.54</f>
        <v>22777436226.54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15.413674019897096</v>
      </c>
      <c r="L9" s="34">
        <f t="shared" si="1"/>
        <v>99.20542217825512</v>
      </c>
      <c r="M9" s="34">
        <f t="shared" si="2"/>
        <v>35.021562394100705</v>
      </c>
    </row>
    <row r="10" spans="2:13" ht="13.5" customHeight="1">
      <c r="B10" s="32" t="s">
        <v>20</v>
      </c>
      <c r="C10" s="24">
        <f>1619330939.74</f>
        <v>1619330939.74</v>
      </c>
      <c r="D10" s="24">
        <f>1597553021.01</f>
        <v>1597553021.01</v>
      </c>
      <c r="E10" s="24">
        <f>1596848320.97</f>
        <v>1596848320.97</v>
      </c>
      <c r="F10" s="24">
        <f>153774128.4</f>
        <v>153774128.4</v>
      </c>
      <c r="G10" s="24">
        <f>1435398.48</f>
        <v>1435398.48</v>
      </c>
      <c r="H10" s="24">
        <f>3591142.53</f>
        <v>3591142.53</v>
      </c>
      <c r="I10" s="24">
        <f>1020420.13</f>
        <v>1020420.13</v>
      </c>
      <c r="J10" s="24">
        <f>3311.78</f>
        <v>3311.78</v>
      </c>
      <c r="K10" s="34">
        <f t="shared" si="0"/>
        <v>1.0715326245345216</v>
      </c>
      <c r="L10" s="34">
        <f t="shared" si="1"/>
        <v>98.65512859690702</v>
      </c>
      <c r="M10" s="34">
        <f t="shared" si="2"/>
        <v>2.434639957936568</v>
      </c>
    </row>
    <row r="11" spans="2:13" ht="13.5" customHeight="1">
      <c r="B11" s="32" t="s">
        <v>21</v>
      </c>
      <c r="C11" s="24">
        <f>14876705095.52</f>
        <v>14876705095.52</v>
      </c>
      <c r="D11" s="62">
        <f>14989196300.59</f>
        <v>14989196300.59</v>
      </c>
      <c r="E11" s="24">
        <f>14988020653.9</f>
        <v>14988020653.9</v>
      </c>
      <c r="F11" s="24">
        <f>1833313313.35</f>
        <v>1833313313.35</v>
      </c>
      <c r="G11" s="24">
        <f>695707594.47</f>
        <v>695707594.47</v>
      </c>
      <c r="H11" s="24">
        <f>114939063.54</f>
        <v>114939063.54</v>
      </c>
      <c r="I11" s="24">
        <f>81972025.78</f>
        <v>81972025.78</v>
      </c>
      <c r="J11" s="24">
        <f>2019029.74</f>
        <v>2019029.74</v>
      </c>
      <c r="K11" s="34">
        <f t="shared" si="0"/>
        <v>10.053758867721365</v>
      </c>
      <c r="L11" s="34">
        <f t="shared" si="1"/>
        <v>100.7561567184919</v>
      </c>
      <c r="M11" s="34">
        <f t="shared" si="2"/>
        <v>22.843245745734134</v>
      </c>
    </row>
    <row r="12" spans="2:13" ht="13.5" customHeight="1">
      <c r="B12" s="32" t="s">
        <v>22</v>
      </c>
      <c r="C12" s="24">
        <f>298375309.11</f>
        <v>298375309.11</v>
      </c>
      <c r="D12" s="62">
        <f>296716032.2</f>
        <v>296716032.2</v>
      </c>
      <c r="E12" s="24">
        <f>296645911.64</f>
        <v>296645911.64</v>
      </c>
      <c r="F12" s="24">
        <f>1077693.26</f>
        <v>1077693.26</v>
      </c>
      <c r="G12" s="24">
        <f>516286.36</f>
        <v>516286.36</v>
      </c>
      <c r="H12" s="24">
        <f>142095.92</f>
        <v>142095.92</v>
      </c>
      <c r="I12" s="24">
        <f>15664.07</f>
        <v>15664.07</v>
      </c>
      <c r="J12" s="24">
        <f>120.32</f>
        <v>120.32</v>
      </c>
      <c r="K12" s="34">
        <f t="shared" si="0"/>
        <v>0.19901743763329244</v>
      </c>
      <c r="L12" s="34">
        <f t="shared" si="1"/>
        <v>99.44389603987362</v>
      </c>
      <c r="M12" s="34">
        <f t="shared" si="2"/>
        <v>0.45218950398140895</v>
      </c>
    </row>
    <row r="13" spans="2:13" ht="22.5" customHeight="1">
      <c r="B13" s="32" t="s">
        <v>23</v>
      </c>
      <c r="C13" s="24">
        <f>832893681.69</f>
        <v>832893681.69</v>
      </c>
      <c r="D13" s="62">
        <f>821634291.06</f>
        <v>821634291.06</v>
      </c>
      <c r="E13" s="24">
        <f>821654230.06</f>
        <v>821654230.06</v>
      </c>
      <c r="F13" s="24">
        <f>763749153.7</f>
        <v>763749153.7</v>
      </c>
      <c r="G13" s="24">
        <f>2671296.81</f>
        <v>2671296.81</v>
      </c>
      <c r="H13" s="24">
        <f>9212173.92</f>
        <v>9212173.92</v>
      </c>
      <c r="I13" s="24">
        <f>3198346.95</f>
        <v>3198346.95</v>
      </c>
      <c r="J13" s="24">
        <f>435677.58</f>
        <v>435677.58</v>
      </c>
      <c r="K13" s="34">
        <f t="shared" si="0"/>
        <v>0.5510977956465407</v>
      </c>
      <c r="L13" s="34">
        <f t="shared" si="1"/>
        <v>98.64815991794367</v>
      </c>
      <c r="M13" s="34">
        <f t="shared" si="2"/>
        <v>1.2521547951885088</v>
      </c>
    </row>
    <row r="14" spans="2:13" ht="33" customHeight="1">
      <c r="B14" s="32" t="s">
        <v>46</v>
      </c>
      <c r="C14" s="24">
        <f>37545778.94</f>
        <v>37545778.94</v>
      </c>
      <c r="D14" s="62">
        <f>36078582.11</f>
        <v>36078582.11</v>
      </c>
      <c r="E14" s="24">
        <f>36247468.1</f>
        <v>36247468.1</v>
      </c>
      <c r="F14" s="24">
        <f>0</f>
        <v>0</v>
      </c>
      <c r="G14" s="24">
        <f>0</f>
        <v>0</v>
      </c>
      <c r="H14" s="24">
        <f>29396.93</f>
        <v>29396.93</v>
      </c>
      <c r="I14" s="24">
        <f>59845.11</f>
        <v>59845.11</v>
      </c>
      <c r="J14" s="24">
        <f>0</f>
        <v>0</v>
      </c>
      <c r="K14" s="34">
        <f t="shared" si="0"/>
        <v>0.024199120323012142</v>
      </c>
      <c r="L14" s="34">
        <f t="shared" si="1"/>
        <v>96.09224559611708</v>
      </c>
      <c r="M14" s="34">
        <f t="shared" si="2"/>
        <v>0.054983062518431165</v>
      </c>
    </row>
    <row r="15" spans="2:13" ht="22.5" customHeight="1">
      <c r="B15" s="32" t="s">
        <v>28</v>
      </c>
      <c r="C15" s="24">
        <f>118081401</f>
        <v>118081401</v>
      </c>
      <c r="D15" s="62">
        <f>133421620.84</f>
        <v>133421620.84</v>
      </c>
      <c r="E15" s="24">
        <f>133261857.45</f>
        <v>133261857.45</v>
      </c>
      <c r="F15" s="24">
        <f>0</f>
        <v>0</v>
      </c>
      <c r="G15" s="24">
        <f>0</f>
        <v>0</v>
      </c>
      <c r="H15" s="24">
        <f>2797082.95</f>
        <v>2797082.95</v>
      </c>
      <c r="I15" s="24">
        <f>4928893.89</f>
        <v>4928893.89</v>
      </c>
      <c r="J15" s="24">
        <f>0</f>
        <v>0</v>
      </c>
      <c r="K15" s="34">
        <f t="shared" si="0"/>
        <v>0.08949037538544401</v>
      </c>
      <c r="L15" s="34">
        <f t="shared" si="1"/>
        <v>112.99122445202018</v>
      </c>
      <c r="M15" s="34">
        <f t="shared" si="2"/>
        <v>0.20333197401132955</v>
      </c>
    </row>
    <row r="16" spans="2:13" ht="22.5" customHeight="1">
      <c r="B16" s="32" t="s">
        <v>29</v>
      </c>
      <c r="C16" s="24">
        <f>1188352305.43</f>
        <v>1188352305.43</v>
      </c>
      <c r="D16" s="62">
        <f>1414052924.4</f>
        <v>1414052924.4</v>
      </c>
      <c r="E16" s="24">
        <f>1411865094.59</f>
        <v>1411865094.59</v>
      </c>
      <c r="F16" s="24">
        <f>0</f>
        <v>0</v>
      </c>
      <c r="G16" s="24">
        <f>0</f>
        <v>0</v>
      </c>
      <c r="H16" s="24">
        <f>78457.15</f>
        <v>78457.15</v>
      </c>
      <c r="I16" s="24">
        <f>265556.06</f>
        <v>265556.06</v>
      </c>
      <c r="J16" s="24">
        <f>0</f>
        <v>0</v>
      </c>
      <c r="K16" s="34">
        <f t="shared" si="0"/>
        <v>0.9484529285639045</v>
      </c>
      <c r="L16" s="34">
        <f t="shared" si="1"/>
        <v>118.99273623980821</v>
      </c>
      <c r="M16" s="34">
        <f t="shared" si="2"/>
        <v>2.154989353783549</v>
      </c>
    </row>
    <row r="17" spans="2:13" ht="13.5" customHeight="1">
      <c r="B17" s="32" t="s">
        <v>30</v>
      </c>
      <c r="C17" s="24">
        <f>176186615.04</f>
        <v>176186615.04</v>
      </c>
      <c r="D17" s="62">
        <f>173548810.1</f>
        <v>173548810.1</v>
      </c>
      <c r="E17" s="24">
        <f>173557284.84</f>
        <v>173557284.84</v>
      </c>
      <c r="F17" s="24">
        <f>0</f>
        <v>0</v>
      </c>
      <c r="G17" s="24">
        <f>0</f>
        <v>0</v>
      </c>
      <c r="H17" s="24">
        <f>440</f>
        <v>440</v>
      </c>
      <c r="I17" s="24">
        <f>9793</f>
        <v>9793</v>
      </c>
      <c r="J17" s="24">
        <f>0</f>
        <v>0</v>
      </c>
      <c r="K17" s="34">
        <f t="shared" si="0"/>
        <v>0.11640503290070911</v>
      </c>
      <c r="L17" s="34">
        <f t="shared" si="1"/>
        <v>98.50283465665021</v>
      </c>
      <c r="M17" s="34">
        <f t="shared" si="2"/>
        <v>0.26448503565451337</v>
      </c>
    </row>
    <row r="18" spans="2:13" ht="22.5" customHeight="1">
      <c r="B18" s="32" t="s">
        <v>31</v>
      </c>
      <c r="C18" s="24">
        <f>383091093.11</f>
        <v>383091093.11</v>
      </c>
      <c r="D18" s="62">
        <f>370578369.24</f>
        <v>370578369.24</v>
      </c>
      <c r="E18" s="24">
        <f>370511489.91</f>
        <v>370511489.91</v>
      </c>
      <c r="F18" s="24">
        <f>0</f>
        <v>0</v>
      </c>
      <c r="G18" s="24">
        <f>0</f>
        <v>0</v>
      </c>
      <c r="H18" s="24">
        <f>113442.48</f>
        <v>113442.48</v>
      </c>
      <c r="I18" s="24">
        <f>411826.75</f>
        <v>411826.75</v>
      </c>
      <c r="J18" s="24">
        <f>0</f>
        <v>0</v>
      </c>
      <c r="K18" s="34">
        <f t="shared" si="0"/>
        <v>0.24855939512819125</v>
      </c>
      <c r="L18" s="34">
        <f t="shared" si="1"/>
        <v>96.73374711784095</v>
      </c>
      <c r="M18" s="34">
        <f t="shared" si="2"/>
        <v>0.5647542794719099</v>
      </c>
    </row>
    <row r="19" spans="2:13" ht="13.5" customHeight="1">
      <c r="B19" s="32" t="s">
        <v>32</v>
      </c>
      <c r="C19" s="24">
        <f>110468383.92</f>
        <v>110468383.92</v>
      </c>
      <c r="D19" s="62">
        <f>97733339.49</f>
        <v>97733339.49</v>
      </c>
      <c r="E19" s="24">
        <f>97646437.27</f>
        <v>97646437.27</v>
      </c>
      <c r="F19" s="24">
        <f>2374316.98</f>
        <v>2374316.98</v>
      </c>
      <c r="G19" s="24">
        <f>81055.44</f>
        <v>81055.44</v>
      </c>
      <c r="H19" s="24">
        <f>3704</f>
        <v>3704</v>
      </c>
      <c r="I19" s="24">
        <f>68683.39</f>
        <v>68683.39</v>
      </c>
      <c r="J19" s="24">
        <f>0</f>
        <v>0</v>
      </c>
      <c r="K19" s="34">
        <f t="shared" si="0"/>
        <v>0.06555304292938867</v>
      </c>
      <c r="L19" s="34">
        <f t="shared" si="1"/>
        <v>88.47177447691949</v>
      </c>
      <c r="M19" s="34">
        <f t="shared" si="2"/>
        <v>0.14894372231508207</v>
      </c>
    </row>
    <row r="20" spans="2:13" ht="13.5" customHeight="1">
      <c r="B20" s="32" t="s">
        <v>24</v>
      </c>
      <c r="C20" s="24">
        <f>3522982500.75</f>
        <v>3522982500.75</v>
      </c>
      <c r="D20" s="62">
        <f>3353516505.82</f>
        <v>3353516505.82</v>
      </c>
      <c r="E20" s="24">
        <f>3355949662.04</f>
        <v>3355949662.04</v>
      </c>
      <c r="F20" s="24">
        <f>0</f>
        <v>0</v>
      </c>
      <c r="G20" s="24">
        <f>73605.65</f>
        <v>73605.65</v>
      </c>
      <c r="H20" s="24">
        <f>0</f>
        <v>0</v>
      </c>
      <c r="I20" s="24">
        <f>133624.4</f>
        <v>133624.4</v>
      </c>
      <c r="J20" s="24">
        <f>0</f>
        <v>0</v>
      </c>
      <c r="K20" s="34">
        <f t="shared" si="0"/>
        <v>2.2493164831733305</v>
      </c>
      <c r="L20" s="34">
        <f t="shared" si="1"/>
        <v>95.18970091693834</v>
      </c>
      <c r="M20" s="34">
        <f t="shared" si="2"/>
        <v>5.110694404062651</v>
      </c>
    </row>
    <row r="21" spans="2:13" ht="13.5" customHeight="1">
      <c r="B21" s="32" t="s">
        <v>25</v>
      </c>
      <c r="C21" s="24">
        <f>C7-C8-C9-C10-C11-C12-C13-C14-C15-C16-C17-C18-C19-C20</f>
        <v>15764842380.379978</v>
      </c>
      <c r="D21" s="24">
        <f aca="true" t="shared" si="3" ref="D21:J21">D7-D8-D9-D10-D11-D12-D13-D14-D15-D16-D17-D18-D19-D20</f>
        <v>18166199607.409996</v>
      </c>
      <c r="E21" s="24">
        <f t="shared" si="3"/>
        <v>18361606560.309982</v>
      </c>
      <c r="F21" s="24">
        <f t="shared" si="3"/>
        <v>4532393.779999752</v>
      </c>
      <c r="G21" s="24">
        <f t="shared" si="3"/>
        <v>17591413.339999907</v>
      </c>
      <c r="H21" s="24">
        <f t="shared" si="3"/>
        <v>9231388.669999992</v>
      </c>
      <c r="I21" s="24">
        <f t="shared" si="3"/>
        <v>8080706.670000006</v>
      </c>
      <c r="J21" s="24">
        <f t="shared" si="3"/>
        <v>669473.23</v>
      </c>
      <c r="K21" s="34">
        <f t="shared" si="0"/>
        <v>12.18468200250374</v>
      </c>
      <c r="L21" s="34">
        <f t="shared" si="1"/>
        <v>115.23235798423592</v>
      </c>
      <c r="M21" s="34">
        <f t="shared" si="2"/>
        <v>27.684937442696068</v>
      </c>
    </row>
    <row r="22" spans="2:13" ht="26.25" customHeight="1">
      <c r="B22" s="80" t="s">
        <v>103</v>
      </c>
      <c r="C22" s="49">
        <f>C23+C36+C38</f>
        <v>54086578004.41</v>
      </c>
      <c r="D22" s="49">
        <f>D23+D36+D38</f>
        <v>51861104751.72</v>
      </c>
      <c r="E22" s="49">
        <f>E23+E36+E38</f>
        <v>51908775127.31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34.78498989081279</v>
      </c>
      <c r="L22" s="50">
        <f t="shared" si="1"/>
        <v>95.88535023881794</v>
      </c>
      <c r="M22" s="28"/>
    </row>
    <row r="23" spans="2:13" ht="25.5" customHeight="1">
      <c r="B23" s="80" t="s">
        <v>62</v>
      </c>
      <c r="C23" s="49">
        <f>C24+C26+C28+C30+C32+C34</f>
        <v>46431628111.020004</v>
      </c>
      <c r="D23" s="49">
        <f>D24+D26+D28+D30+D32+D34</f>
        <v>45932602843.69</v>
      </c>
      <c r="E23" s="49">
        <f>E24+E26+E28+E30+E32+E34</f>
        <v>45977042107.810005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30.8085439603653</v>
      </c>
      <c r="L23" s="50">
        <f t="shared" si="1"/>
        <v>98.92524710497591</v>
      </c>
      <c r="M23" s="28"/>
    </row>
    <row r="24" spans="2:13" ht="22.5" customHeight="1">
      <c r="B24" s="32" t="s">
        <v>9</v>
      </c>
      <c r="C24" s="24">
        <f>41503751974.72</f>
        <v>41503751974.72</v>
      </c>
      <c r="D24" s="24">
        <f>41265618884.44</f>
        <v>41265618884.44</v>
      </c>
      <c r="E24" s="24">
        <f>41284873910.7</f>
        <v>41284873910.7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27.678240612214726</v>
      </c>
      <c r="L24" s="34">
        <f t="shared" si="1"/>
        <v>99.42623719796454</v>
      </c>
      <c r="M24" s="28"/>
    </row>
    <row r="25" spans="2:13" ht="13.5" customHeight="1">
      <c r="B25" s="63" t="s">
        <v>6</v>
      </c>
      <c r="C25" s="24">
        <f>17734235.66</f>
        <v>17734235.66</v>
      </c>
      <c r="D25" s="24">
        <f>17103785.8</f>
        <v>17103785.8</v>
      </c>
      <c r="E25" s="24">
        <f>17104113.92</f>
        <v>17104113.92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0.011472085274617976</v>
      </c>
      <c r="L25" s="34">
        <f t="shared" si="1"/>
        <v>96.44501250526407</v>
      </c>
      <c r="M25" s="28"/>
    </row>
    <row r="26" spans="2:13" ht="13.5" customHeight="1">
      <c r="B26" s="32" t="s">
        <v>7</v>
      </c>
      <c r="C26" s="24">
        <f>3662854237.26</f>
        <v>3662854237.26</v>
      </c>
      <c r="D26" s="24">
        <f>3489152143.29</f>
        <v>3489152143.29</v>
      </c>
      <c r="E26" s="24">
        <f>3510730867.25</f>
        <v>3510730867.25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2.340291874091346</v>
      </c>
      <c r="L26" s="34">
        <f t="shared" si="1"/>
        <v>95.25773938250029</v>
      </c>
      <c r="M26" s="28"/>
    </row>
    <row r="27" spans="2:13" ht="13.5" customHeight="1">
      <c r="B27" s="63" t="s">
        <v>6</v>
      </c>
      <c r="C27" s="24">
        <f>352887064.23</f>
        <v>352887064.23</v>
      </c>
      <c r="D27" s="24">
        <f>314103660.47</f>
        <v>314103660.47</v>
      </c>
      <c r="E27" s="24">
        <f>314025823.04</f>
        <v>314025823.04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0.21067990561373212</v>
      </c>
      <c r="L27" s="34">
        <f t="shared" si="1"/>
        <v>89.00968392122125</v>
      </c>
      <c r="M27" s="28"/>
    </row>
    <row r="28" spans="2:13" ht="33" customHeight="1">
      <c r="B28" s="32" t="s">
        <v>10</v>
      </c>
      <c r="C28" s="24">
        <f>32222106.3</f>
        <v>32222106.3</v>
      </c>
      <c r="D28" s="24">
        <f>28995090.45</f>
        <v>28995090.45</v>
      </c>
      <c r="E28" s="24">
        <f>28979864.55</f>
        <v>28979864.55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0.019447983860255154</v>
      </c>
      <c r="L28" s="34">
        <f t="shared" si="1"/>
        <v>89.98508719462576</v>
      </c>
      <c r="M28" s="28"/>
    </row>
    <row r="29" spans="2:13" ht="13.5" customHeight="1">
      <c r="B29" s="63" t="s">
        <v>6</v>
      </c>
      <c r="C29" s="24">
        <f>15438044.27</f>
        <v>15438044.27</v>
      </c>
      <c r="D29" s="24">
        <f>13884939.3</f>
        <v>13884939.3</v>
      </c>
      <c r="E29" s="24">
        <f>13898232.06</f>
        <v>13898232.06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0.009313096500687843</v>
      </c>
      <c r="L29" s="34">
        <f t="shared" si="1"/>
        <v>89.93975569160614</v>
      </c>
      <c r="M29" s="28"/>
    </row>
    <row r="30" spans="2:13" ht="33.75">
      <c r="B30" s="32" t="s">
        <v>11</v>
      </c>
      <c r="C30" s="24">
        <f>547655078.19</f>
        <v>547655078.19</v>
      </c>
      <c r="D30" s="24">
        <f>506756654.5</f>
        <v>506756654.5</v>
      </c>
      <c r="E30" s="24">
        <f>510008624.82</f>
        <v>510008624.82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0.33989875819797266</v>
      </c>
      <c r="L30" s="34">
        <f t="shared" si="1"/>
        <v>92.53208354697097</v>
      </c>
      <c r="M30" s="28"/>
    </row>
    <row r="31" spans="2:13" ht="12.75">
      <c r="B31" s="63" t="s">
        <v>6</v>
      </c>
      <c r="C31" s="24">
        <f>233417943.67</f>
        <v>233417943.67</v>
      </c>
      <c r="D31" s="24">
        <f>192346264.22</f>
        <v>192346264.22</v>
      </c>
      <c r="E31" s="24">
        <f>192658506.62</f>
        <v>192658506.62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0.12901311856852418</v>
      </c>
      <c r="L31" s="34">
        <f t="shared" si="1"/>
        <v>82.40423216645846</v>
      </c>
      <c r="M31" s="28"/>
    </row>
    <row r="32" spans="2:13" ht="45">
      <c r="B32" s="32" t="s">
        <v>78</v>
      </c>
      <c r="C32" s="24">
        <f>365956236.46</f>
        <v>365956236.46</v>
      </c>
      <c r="D32" s="24">
        <f>327279637.6</f>
        <v>327279637.6</v>
      </c>
      <c r="E32" s="24">
        <f>328148907.33</f>
        <v>328148907.33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0.2195174773057125</v>
      </c>
      <c r="L32" s="34">
        <f t="shared" si="1"/>
        <v>89.43135954338972</v>
      </c>
      <c r="M32" s="28"/>
    </row>
    <row r="33" spans="2:13" ht="12.75">
      <c r="B33" s="63" t="s">
        <v>6</v>
      </c>
      <c r="C33" s="24">
        <f>283771108.16</f>
        <v>283771108.16</v>
      </c>
      <c r="D33" s="24">
        <f>251726151.44</f>
        <v>251726151.44</v>
      </c>
      <c r="E33" s="24">
        <f>252289899.48</f>
        <v>252289899.48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0.16884120912991546</v>
      </c>
      <c r="L33" s="34">
        <f t="shared" si="1"/>
        <v>88.70746323408937</v>
      </c>
      <c r="M33" s="28"/>
    </row>
    <row r="34" spans="2:13" ht="22.5">
      <c r="B34" s="32" t="s">
        <v>8</v>
      </c>
      <c r="C34" s="24">
        <f>319188478.09</f>
        <v>319188478.09</v>
      </c>
      <c r="D34" s="24">
        <f>314800433.41</f>
        <v>314800433.41</v>
      </c>
      <c r="E34" s="24">
        <f>314299933.16</f>
        <v>314299933.16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0.2111472546952861</v>
      </c>
      <c r="L34" s="34">
        <f t="shared" si="1"/>
        <v>98.62524966243842</v>
      </c>
      <c r="M34" s="28"/>
    </row>
    <row r="35" spans="2:13" ht="12.75">
      <c r="B35" s="31" t="s">
        <v>6</v>
      </c>
      <c r="C35" s="22">
        <f>281917814.47</f>
        <v>281917814.47</v>
      </c>
      <c r="D35" s="22">
        <f>280610193.11</f>
        <v>280610193.11</v>
      </c>
      <c r="E35" s="22">
        <f>280523277.17</f>
        <v>280523277.17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0.18821470883276248</v>
      </c>
      <c r="L35" s="34">
        <f t="shared" si="1"/>
        <v>99.53616930435619</v>
      </c>
      <c r="M35" s="28"/>
    </row>
    <row r="36" spans="2:13" ht="12.75">
      <c r="B36" s="80" t="s">
        <v>95</v>
      </c>
      <c r="C36" s="49">
        <f>1144299520.85</f>
        <v>1144299520.85</v>
      </c>
      <c r="D36" s="49">
        <f>804623153.01</f>
        <v>804623153.01</v>
      </c>
      <c r="E36" s="49">
        <f>801999892.77</f>
        <v>801999892.77</v>
      </c>
      <c r="F36" s="41" t="s">
        <v>60</v>
      </c>
      <c r="G36" s="41" t="s">
        <v>60</v>
      </c>
      <c r="H36" s="41" t="s">
        <v>60</v>
      </c>
      <c r="I36" s="41" t="s">
        <v>60</v>
      </c>
      <c r="J36" s="41" t="s">
        <v>60</v>
      </c>
      <c r="K36" s="50">
        <f t="shared" si="0"/>
        <v>0.5396878523386739</v>
      </c>
      <c r="L36" s="50">
        <f t="shared" si="1"/>
        <v>70.31578169431688</v>
      </c>
      <c r="M36" s="28"/>
    </row>
    <row r="37" spans="2:13" ht="13.5" customHeight="1">
      <c r="B37" s="31" t="s">
        <v>96</v>
      </c>
      <c r="C37" s="22">
        <f>1008165555.89</f>
        <v>1008165555.89</v>
      </c>
      <c r="D37" s="22">
        <f>687950247.74</f>
        <v>687950247.74</v>
      </c>
      <c r="E37" s="22">
        <f>685334475.54</f>
        <v>685334475.54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0.4614314046640973</v>
      </c>
      <c r="L37" s="34">
        <f t="shared" si="1"/>
        <v>68.23782500014924</v>
      </c>
      <c r="M37" s="28"/>
    </row>
    <row r="38" spans="2:13" ht="13.5" customHeight="1">
      <c r="B38" s="80" t="s">
        <v>97</v>
      </c>
      <c r="C38" s="41">
        <f>6510650372.54</f>
        <v>6510650372.54</v>
      </c>
      <c r="D38" s="41">
        <f>5123878755.02</f>
        <v>5123878755.02</v>
      </c>
      <c r="E38" s="41">
        <f>5129733126.73</f>
        <v>5129733126.73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64">
        <f t="shared" si="0"/>
        <v>3.4367580781088143</v>
      </c>
      <c r="L38" s="64">
        <f t="shared" si="1"/>
        <v>78.69995256742718</v>
      </c>
      <c r="M38" s="28"/>
    </row>
    <row r="39" spans="2:13" ht="13.5" customHeight="1">
      <c r="B39" s="31" t="s">
        <v>98</v>
      </c>
      <c r="C39" s="22">
        <f>5417373038.76</f>
        <v>5417373038.76</v>
      </c>
      <c r="D39" s="22">
        <f>4145216495.23</f>
        <v>4145216495.23</v>
      </c>
      <c r="E39" s="22">
        <f>4147925543.08</f>
        <v>4147925543.08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2.780336334370582</v>
      </c>
      <c r="L39" s="34">
        <f t="shared" si="1"/>
        <v>76.5170953813218</v>
      </c>
      <c r="M39" s="28"/>
    </row>
    <row r="40" spans="2:13" s="5" customFormat="1" ht="25.5" customHeight="1">
      <c r="B40" s="80" t="s">
        <v>63</v>
      </c>
      <c r="C40" s="25">
        <f>C41+C42+C43+C44+C45</f>
        <v>31593500603.61</v>
      </c>
      <c r="D40" s="25">
        <f>D41+D42+D43+D44+D45</f>
        <v>31611735527.84</v>
      </c>
      <c r="E40" s="25">
        <f>E41+E42+E43+E44+E45</f>
        <v>31491652695.14</v>
      </c>
      <c r="F40" s="23" t="s">
        <v>60</v>
      </c>
      <c r="G40" s="23" t="s">
        <v>60</v>
      </c>
      <c r="H40" s="23" t="s">
        <v>60</v>
      </c>
      <c r="I40" s="23" t="s">
        <v>60</v>
      </c>
      <c r="J40" s="23" t="s">
        <v>60</v>
      </c>
      <c r="K40" s="33">
        <f t="shared" si="0"/>
        <v>21.203055855274517</v>
      </c>
      <c r="L40" s="33">
        <f t="shared" si="1"/>
        <v>100.05771732755666</v>
      </c>
      <c r="M40" s="29"/>
    </row>
    <row r="41" spans="2:13" ht="13.5" customHeight="1">
      <c r="B41" s="20" t="s">
        <v>50</v>
      </c>
      <c r="C41" s="22">
        <f>8751020779</f>
        <v>8751020779</v>
      </c>
      <c r="D41" s="22">
        <f>8750723251</f>
        <v>8750723251</v>
      </c>
      <c r="E41" s="22">
        <f>8749285425</f>
        <v>8749285425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5.869404851296386</v>
      </c>
      <c r="L41" s="34">
        <f t="shared" si="1"/>
        <v>99.99660007663661</v>
      </c>
      <c r="M41" s="28"/>
    </row>
    <row r="42" spans="2:13" ht="13.5" customHeight="1">
      <c r="B42" s="32" t="s">
        <v>49</v>
      </c>
      <c r="C42" s="24">
        <f>22314464293.61</f>
        <v>22314464293.61</v>
      </c>
      <c r="D42" s="24">
        <f>22315719155.84</f>
        <v>22315719155.84</v>
      </c>
      <c r="E42" s="24">
        <f>22197593657.14</f>
        <v>22197593657.14</v>
      </c>
      <c r="F42" s="24" t="s">
        <v>60</v>
      </c>
      <c r="G42" s="24" t="s">
        <v>60</v>
      </c>
      <c r="H42" s="24" t="s">
        <v>60</v>
      </c>
      <c r="I42" s="24" t="s">
        <v>60</v>
      </c>
      <c r="J42" s="24" t="s">
        <v>60</v>
      </c>
      <c r="K42" s="34">
        <f t="shared" si="0"/>
        <v>14.967904539603293</v>
      </c>
      <c r="L42" s="34">
        <f t="shared" si="1"/>
        <v>100.00562353733206</v>
      </c>
      <c r="M42" s="28"/>
    </row>
    <row r="43" spans="2:13" ht="13.5" customHeight="1">
      <c r="B43" s="32" t="s">
        <v>48</v>
      </c>
      <c r="C43" s="24">
        <f>0</f>
        <v>0</v>
      </c>
      <c r="D43" s="24">
        <f>0</f>
        <v>0</v>
      </c>
      <c r="E43" s="24">
        <f>0</f>
        <v>0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0</v>
      </c>
      <c r="L43" s="34">
        <f t="shared" si="1"/>
      </c>
      <c r="M43" s="28"/>
    </row>
    <row r="44" spans="2:13" ht="13.5" customHeight="1">
      <c r="B44" s="32" t="s">
        <v>47</v>
      </c>
      <c r="C44" s="24">
        <f>338136715</f>
        <v>338136715</v>
      </c>
      <c r="D44" s="24">
        <f>338136715</f>
        <v>338136715</v>
      </c>
      <c r="E44" s="24">
        <f>337930304</f>
        <v>337930304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0.2267996848369789</v>
      </c>
      <c r="L44" s="34">
        <f t="shared" si="1"/>
        <v>100</v>
      </c>
      <c r="M44" s="28"/>
    </row>
    <row r="45" spans="2:13" s="5" customFormat="1" ht="22.5" customHeight="1">
      <c r="B45" s="32" t="s">
        <v>45</v>
      </c>
      <c r="C45" s="24">
        <f>189878816</f>
        <v>189878816</v>
      </c>
      <c r="D45" s="24">
        <f>207156406</f>
        <v>207156406</v>
      </c>
      <c r="E45" s="24">
        <f>206843309</f>
        <v>206843309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0.13894677953786014</v>
      </c>
      <c r="L45" s="34">
        <f t="shared" si="1"/>
        <v>109.09927203253679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0" t="s">
        <v>5</v>
      </c>
      <c r="C47" s="41">
        <f aca="true" t="shared" si="4" ref="C47:J47">+C6</f>
        <v>148825072548.11</v>
      </c>
      <c r="D47" s="41">
        <f t="shared" si="4"/>
        <v>149090469522.94</v>
      </c>
      <c r="E47" s="41">
        <f t="shared" si="4"/>
        <v>149013267774.3</v>
      </c>
      <c r="F47" s="41">
        <f t="shared" si="4"/>
        <v>2758820999.47</v>
      </c>
      <c r="G47" s="41">
        <f t="shared" si="4"/>
        <v>718076650.55</v>
      </c>
      <c r="H47" s="41">
        <f t="shared" si="4"/>
        <v>140138388.09</v>
      </c>
      <c r="I47" s="41">
        <f t="shared" si="4"/>
        <v>100165386.2</v>
      </c>
      <c r="J47" s="41">
        <f t="shared" si="4"/>
        <v>3127612.65</v>
      </c>
      <c r="K47" s="65">
        <f t="shared" si="0"/>
        <v>100</v>
      </c>
      <c r="L47" s="65">
        <f>IF(C47=0,"",100*D47/C47)</f>
        <v>100.17832813402072</v>
      </c>
      <c r="M47" s="65"/>
    </row>
    <row r="48" spans="1:13" s="5" customFormat="1" ht="13.5" customHeight="1">
      <c r="A48" s="2"/>
      <c r="B48" s="81" t="s">
        <v>70</v>
      </c>
      <c r="C48" s="24">
        <f>14360240854.07</f>
        <v>14360240854.07</v>
      </c>
      <c r="D48" s="24">
        <f>15470672833.24</f>
        <v>15470672833.24</v>
      </c>
      <c r="E48" s="24">
        <f>15683286917.46</f>
        <v>15683286917.46</v>
      </c>
      <c r="F48" s="24">
        <f>0</f>
        <v>0</v>
      </c>
      <c r="G48" s="24">
        <f>18947.45</f>
        <v>18947.45</v>
      </c>
      <c r="H48" s="24">
        <f>0</f>
        <v>0</v>
      </c>
      <c r="I48" s="24">
        <f>133624.4</f>
        <v>133624.4</v>
      </c>
      <c r="J48" s="24">
        <f>0</f>
        <v>0</v>
      </c>
      <c r="K48" s="38">
        <f t="shared" si="0"/>
        <v>10.376701396637284</v>
      </c>
      <c r="L48" s="38">
        <f>IF(C48=0,"",100*D48/C48)</f>
        <v>107.73268352846101</v>
      </c>
      <c r="M48" s="38"/>
    </row>
    <row r="49" spans="1:13" s="5" customFormat="1" ht="13.5" customHeight="1">
      <c r="A49" s="2"/>
      <c r="B49" s="81" t="s">
        <v>71</v>
      </c>
      <c r="C49" s="24">
        <f>C47-C48</f>
        <v>134464831694.03998</v>
      </c>
      <c r="D49" s="24">
        <f aca="true" t="shared" si="5" ref="D49:J49">D47-D48</f>
        <v>133619796689.7</v>
      </c>
      <c r="E49" s="24">
        <f t="shared" si="5"/>
        <v>133329980856.84</v>
      </c>
      <c r="F49" s="24">
        <f t="shared" si="5"/>
        <v>2758820999.47</v>
      </c>
      <c r="G49" s="24">
        <f t="shared" si="5"/>
        <v>718057703.0999999</v>
      </c>
      <c r="H49" s="24">
        <f t="shared" si="5"/>
        <v>140138388.09</v>
      </c>
      <c r="I49" s="24">
        <f t="shared" si="5"/>
        <v>100031761.8</v>
      </c>
      <c r="J49" s="24">
        <f t="shared" si="5"/>
        <v>3127612.65</v>
      </c>
      <c r="K49" s="38">
        <f t="shared" si="0"/>
        <v>89.62329860336271</v>
      </c>
      <c r="L49" s="38">
        <f>IF(C49=0,"",100*D49/C49)</f>
        <v>99.37155686457649</v>
      </c>
      <c r="M49" s="38"/>
    </row>
    <row r="50" spans="2:13" ht="15">
      <c r="B50" s="101" t="s">
        <v>100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5" t="s">
        <v>0</v>
      </c>
      <c r="C52" s="102" t="s">
        <v>56</v>
      </c>
      <c r="D52" s="102" t="s">
        <v>57</v>
      </c>
      <c r="E52" s="102" t="s">
        <v>58</v>
      </c>
      <c r="F52" s="102" t="s">
        <v>12</v>
      </c>
      <c r="G52" s="102"/>
      <c r="H52" s="102"/>
      <c r="I52" s="102" t="s">
        <v>86</v>
      </c>
      <c r="J52" s="102"/>
      <c r="K52" s="102" t="s">
        <v>2</v>
      </c>
      <c r="L52" s="108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5"/>
      <c r="C53" s="102"/>
      <c r="D53" s="103"/>
      <c r="E53" s="102"/>
      <c r="F53" s="92" t="s">
        <v>59</v>
      </c>
      <c r="G53" s="107" t="s">
        <v>34</v>
      </c>
      <c r="H53" s="103"/>
      <c r="I53" s="102"/>
      <c r="J53" s="102"/>
      <c r="K53" s="102"/>
      <c r="L53" s="108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5"/>
      <c r="C54" s="102"/>
      <c r="D54" s="103"/>
      <c r="E54" s="102"/>
      <c r="F54" s="103"/>
      <c r="G54" s="18" t="s">
        <v>54</v>
      </c>
      <c r="H54" s="18" t="s">
        <v>55</v>
      </c>
      <c r="I54" s="102"/>
      <c r="J54" s="102"/>
      <c r="K54" s="102"/>
      <c r="L54" s="108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5"/>
      <c r="C55" s="106" t="s">
        <v>77</v>
      </c>
      <c r="D55" s="106"/>
      <c r="E55" s="106"/>
      <c r="F55" s="106"/>
      <c r="G55" s="106"/>
      <c r="H55" s="106"/>
      <c r="I55" s="106"/>
      <c r="J55" s="106"/>
      <c r="K55" s="106" t="s">
        <v>4</v>
      </c>
      <c r="L55" s="106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103">
        <v>8</v>
      </c>
      <c r="J56" s="103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0" t="s">
        <v>64</v>
      </c>
      <c r="C57" s="66">
        <f>157187453732.5</f>
        <v>157187453732.5</v>
      </c>
      <c r="D57" s="66">
        <f>143972399017.21</f>
        <v>143972399017.21</v>
      </c>
      <c r="E57" s="66">
        <f>143716561529.99</f>
        <v>143716561529.99</v>
      </c>
      <c r="F57" s="66">
        <f>5433022234.86</f>
        <v>5433022234.86</v>
      </c>
      <c r="G57" s="66">
        <f>5218218.37</f>
        <v>5218218.37</v>
      </c>
      <c r="H57" s="66">
        <f>7515610.92</f>
        <v>7515610.92</v>
      </c>
      <c r="I57" s="104">
        <f>878551608.74</f>
        <v>878551608.74</v>
      </c>
      <c r="J57" s="104"/>
      <c r="K57" s="58">
        <f aca="true" t="shared" si="6" ref="K57:K66">IF($E$57=0,"",100*$E57/$E$57)</f>
        <v>100</v>
      </c>
      <c r="L57" s="58">
        <f aca="true" t="shared" si="7" ref="L57:L66">IF(C57=0,"",100*E57/C57)</f>
        <v>91.4300461756734</v>
      </c>
    </row>
    <row r="58" spans="2:12" ht="24" customHeight="1">
      <c r="B58" s="80" t="s">
        <v>14</v>
      </c>
      <c r="C58" s="26">
        <f>26804652825.92</f>
        <v>26804652825.92</v>
      </c>
      <c r="D58" s="26">
        <f>21337385669.73</f>
        <v>21337385669.73</v>
      </c>
      <c r="E58" s="26">
        <f>21251906733.22</f>
        <v>21251906733.22</v>
      </c>
      <c r="F58" s="26">
        <f>470037133.7</f>
        <v>470037133.7</v>
      </c>
      <c r="G58" s="26">
        <f>675855.17</f>
        <v>675855.17</v>
      </c>
      <c r="H58" s="26">
        <f>743909.01</f>
        <v>743909.01</v>
      </c>
      <c r="I58" s="86">
        <f>787284951.28</f>
        <v>787284951.28</v>
      </c>
      <c r="J58" s="87"/>
      <c r="K58" s="35">
        <f t="shared" si="6"/>
        <v>14.78737489053081</v>
      </c>
      <c r="L58" s="35">
        <f t="shared" si="7"/>
        <v>79.28439465804044</v>
      </c>
    </row>
    <row r="59" spans="2:12" ht="22.5" customHeight="1">
      <c r="B59" s="20" t="s">
        <v>13</v>
      </c>
      <c r="C59" s="22">
        <f>26204986051.76</f>
        <v>26204986051.76</v>
      </c>
      <c r="D59" s="22">
        <f>20800097978.73</f>
        <v>20800097978.73</v>
      </c>
      <c r="E59" s="22">
        <f>20714619042.36</f>
        <v>20714619042.36</v>
      </c>
      <c r="F59" s="22">
        <f>463791140.2</f>
        <v>463791140.2</v>
      </c>
      <c r="G59" s="22">
        <f>675855.17</f>
        <v>675855.17</v>
      </c>
      <c r="H59" s="22">
        <f>743909.01</f>
        <v>743909.01</v>
      </c>
      <c r="I59" s="99">
        <f>787284951.28</f>
        <v>787284951.28</v>
      </c>
      <c r="J59" s="100"/>
      <c r="K59" s="36">
        <f t="shared" si="6"/>
        <v>14.41352257654549</v>
      </c>
      <c r="L59" s="36">
        <f t="shared" si="7"/>
        <v>79.04838797259634</v>
      </c>
    </row>
    <row r="60" spans="2:12" ht="25.5" customHeight="1">
      <c r="B60" s="80" t="s">
        <v>65</v>
      </c>
      <c r="C60" s="26">
        <f aca="true" t="shared" si="8" ref="C60:I60">C57-C58</f>
        <v>130382800906.58</v>
      </c>
      <c r="D60" s="26">
        <f t="shared" si="8"/>
        <v>122635013347.48</v>
      </c>
      <c r="E60" s="26">
        <f t="shared" si="8"/>
        <v>122464654796.76999</v>
      </c>
      <c r="F60" s="26">
        <f t="shared" si="8"/>
        <v>4962985101.16</v>
      </c>
      <c r="G60" s="26">
        <f t="shared" si="8"/>
        <v>4542363.2</v>
      </c>
      <c r="H60" s="26">
        <f t="shared" si="8"/>
        <v>6771701.91</v>
      </c>
      <c r="I60" s="86">
        <f t="shared" si="8"/>
        <v>91266657.46000004</v>
      </c>
      <c r="J60" s="86"/>
      <c r="K60" s="35">
        <f t="shared" si="6"/>
        <v>85.21262510946919</v>
      </c>
      <c r="L60" s="35">
        <f t="shared" si="7"/>
        <v>93.92700106551368</v>
      </c>
    </row>
    <row r="61" spans="2:12" ht="22.5">
      <c r="B61" s="20" t="s">
        <v>99</v>
      </c>
      <c r="C61" s="22">
        <f>46147926733.71</f>
        <v>46147926733.71</v>
      </c>
      <c r="D61" s="22">
        <f>43883356925.18</f>
        <v>43883356925.18</v>
      </c>
      <c r="E61" s="22">
        <f>43817763666.52</f>
        <v>43817763666.52</v>
      </c>
      <c r="F61" s="22">
        <f>3590315696.13</f>
        <v>3590315696.13</v>
      </c>
      <c r="G61" s="22">
        <f>279539.74</f>
        <v>279539.74</v>
      </c>
      <c r="H61" s="22">
        <f>1824983.71</f>
        <v>1824983.71</v>
      </c>
      <c r="I61" s="99">
        <f>846296.82</f>
        <v>846296.82</v>
      </c>
      <c r="J61" s="100"/>
      <c r="K61" s="36">
        <f t="shared" si="6"/>
        <v>30.48901476631581</v>
      </c>
      <c r="L61" s="36">
        <f t="shared" si="7"/>
        <v>94.95066575658777</v>
      </c>
    </row>
    <row r="62" spans="2:12" ht="13.5" customHeight="1">
      <c r="B62" s="32" t="s">
        <v>53</v>
      </c>
      <c r="C62" s="68">
        <f>8884450393.56</f>
        <v>8884450393.56</v>
      </c>
      <c r="D62" s="68">
        <f>8505220228.73</f>
        <v>8505220228.73</v>
      </c>
      <c r="E62" s="68">
        <f>8497320779.99</f>
        <v>8497320779.99</v>
      </c>
      <c r="F62" s="68">
        <f>6263651.42</f>
        <v>6263651.42</v>
      </c>
      <c r="G62" s="68">
        <f>150205.93</f>
        <v>150205.93</v>
      </c>
      <c r="H62" s="68">
        <f>0.9</f>
        <v>0.9</v>
      </c>
      <c r="I62" s="98">
        <f>17492796.1</f>
        <v>17492796.1</v>
      </c>
      <c r="J62" s="98"/>
      <c r="K62" s="69">
        <f t="shared" si="6"/>
        <v>5.912555024646081</v>
      </c>
      <c r="L62" s="69">
        <f t="shared" si="7"/>
        <v>95.64261607166364</v>
      </c>
    </row>
    <row r="63" spans="2:12" ht="13.5" customHeight="1">
      <c r="B63" s="32" t="s">
        <v>52</v>
      </c>
      <c r="C63" s="24">
        <f>882562669.42</f>
        <v>882562669.42</v>
      </c>
      <c r="D63" s="24">
        <f>671550229.46</f>
        <v>671550229.46</v>
      </c>
      <c r="E63" s="24">
        <f>668587736.81</f>
        <v>668587736.81</v>
      </c>
      <c r="F63" s="24">
        <f>11806514.72</f>
        <v>11806514.72</v>
      </c>
      <c r="G63" s="24">
        <f>0</f>
        <v>0</v>
      </c>
      <c r="H63" s="24">
        <f>533.07</f>
        <v>533.07</v>
      </c>
      <c r="I63" s="97">
        <f>0</f>
        <v>0</v>
      </c>
      <c r="J63" s="97"/>
      <c r="K63" s="69">
        <f t="shared" si="6"/>
        <v>0.4652127282285992</v>
      </c>
      <c r="L63" s="69">
        <f t="shared" si="7"/>
        <v>75.75527041602389</v>
      </c>
    </row>
    <row r="64" spans="2:12" ht="22.5" customHeight="1">
      <c r="B64" s="32" t="s">
        <v>68</v>
      </c>
      <c r="C64" s="68">
        <f>71052756.7</f>
        <v>71052756.7</v>
      </c>
      <c r="D64" s="68">
        <f>3554356.31</f>
        <v>3554356.31</v>
      </c>
      <c r="E64" s="68">
        <f>3247271.07</f>
        <v>3247271.07</v>
      </c>
      <c r="F64" s="68">
        <f>275315.46</f>
        <v>275315.46</v>
      </c>
      <c r="G64" s="68">
        <f>0</f>
        <v>0</v>
      </c>
      <c r="H64" s="68">
        <f>0</f>
        <v>0</v>
      </c>
      <c r="I64" s="98">
        <f>0</f>
        <v>0</v>
      </c>
      <c r="J64" s="98"/>
      <c r="K64" s="69">
        <f t="shared" si="6"/>
        <v>0.0022594967729744754</v>
      </c>
      <c r="L64" s="69">
        <f t="shared" si="7"/>
        <v>4.570225309780275</v>
      </c>
    </row>
    <row r="65" spans="2:12" ht="22.5" customHeight="1">
      <c r="B65" s="32" t="s">
        <v>69</v>
      </c>
      <c r="C65" s="68">
        <f>42347403723.96</f>
        <v>42347403723.96</v>
      </c>
      <c r="D65" s="68">
        <f>41838974684.63</f>
        <v>41838974684.63</v>
      </c>
      <c r="E65" s="68">
        <f>41825439693.76</f>
        <v>41825439693.76</v>
      </c>
      <c r="F65" s="68">
        <f>491722948.04</f>
        <v>491722948.04</v>
      </c>
      <c r="G65" s="68">
        <f>3196.38</f>
        <v>3196.38</v>
      </c>
      <c r="H65" s="68">
        <f>27967.02</f>
        <v>27967.02</v>
      </c>
      <c r="I65" s="88">
        <f>1007.25</f>
        <v>1007.25</v>
      </c>
      <c r="J65" s="89"/>
      <c r="K65" s="69">
        <f t="shared" si="6"/>
        <v>29.102727791766778</v>
      </c>
      <c r="L65" s="69">
        <f t="shared" si="7"/>
        <v>98.76742377501486</v>
      </c>
    </row>
    <row r="66" spans="2:12" ht="13.5" customHeight="1">
      <c r="B66" s="32" t="s">
        <v>51</v>
      </c>
      <c r="C66" s="24">
        <f aca="true" t="shared" si="9" ref="C66:I66">C60-C61-C62-C63-C64-C65</f>
        <v>32049404629.230003</v>
      </c>
      <c r="D66" s="24">
        <f t="shared" si="9"/>
        <v>27732356923.16999</v>
      </c>
      <c r="E66" s="24">
        <f t="shared" si="9"/>
        <v>27652295648.619987</v>
      </c>
      <c r="F66" s="24">
        <f t="shared" si="9"/>
        <v>862600975.3899996</v>
      </c>
      <c r="G66" s="24">
        <f t="shared" si="9"/>
        <v>4109421.15</v>
      </c>
      <c r="H66" s="24">
        <f t="shared" si="9"/>
        <v>4918217.21</v>
      </c>
      <c r="I66" s="98">
        <f t="shared" si="9"/>
        <v>72926557.29000005</v>
      </c>
      <c r="J66" s="98" t="e">
        <f>J60-J61-#REF!-J62-J63-J64-J65</f>
        <v>#REF!</v>
      </c>
      <c r="K66" s="69">
        <f t="shared" si="6"/>
        <v>19.24085530173894</v>
      </c>
      <c r="L66" s="69">
        <f t="shared" si="7"/>
        <v>86.28021633637549</v>
      </c>
    </row>
    <row r="67" spans="2:13" ht="18" customHeight="1">
      <c r="B67" s="80" t="s">
        <v>15</v>
      </c>
      <c r="C67" s="26">
        <f>C6-C57</f>
        <v>-8362381184.390015</v>
      </c>
      <c r="D67" s="26"/>
      <c r="E67" s="26">
        <f>D6-E57</f>
        <v>5373907992.950012</v>
      </c>
      <c r="F67" s="26"/>
      <c r="G67" s="26"/>
      <c r="H67" s="26"/>
      <c r="I67" s="86"/>
      <c r="J67" s="86"/>
      <c r="K67" s="27"/>
      <c r="L67" s="27"/>
      <c r="M67" s="13"/>
    </row>
    <row r="68" spans="2:13" ht="33" customHeight="1">
      <c r="B68" s="82" t="s">
        <v>72</v>
      </c>
      <c r="C68" s="26">
        <f>+C49-C60</f>
        <v>4082030787.459976</v>
      </c>
      <c r="D68" s="26"/>
      <c r="E68" s="26">
        <f>+D49-E60</f>
        <v>11155141892.930008</v>
      </c>
      <c r="F68" s="26"/>
      <c r="G68" s="26"/>
      <c r="H68" s="26"/>
      <c r="I68" s="26"/>
      <c r="J68" s="26"/>
      <c r="K68" s="27"/>
      <c r="L68" s="27"/>
      <c r="M68" s="13"/>
    </row>
    <row r="69" spans="2:13" ht="8.25" customHeight="1" thickBot="1">
      <c r="B69" s="70"/>
      <c r="C69" s="71"/>
      <c r="D69" s="71"/>
      <c r="E69" s="71"/>
      <c r="F69" s="71"/>
      <c r="G69" s="71"/>
      <c r="H69" s="71"/>
      <c r="I69" s="71"/>
      <c r="J69" s="71"/>
      <c r="K69" s="27"/>
      <c r="L69" s="27"/>
      <c r="M69" s="13"/>
    </row>
    <row r="70" spans="2:13" ht="14.25" customHeight="1">
      <c r="B70" s="83" t="s">
        <v>73</v>
      </c>
      <c r="C70" s="71"/>
      <c r="D70" s="71"/>
      <c r="E70" s="71"/>
      <c r="F70" s="71"/>
      <c r="G70" s="71"/>
      <c r="H70" s="71"/>
      <c r="I70" s="71"/>
      <c r="J70" s="71"/>
      <c r="K70" s="27"/>
      <c r="L70" s="27"/>
      <c r="M70" s="13"/>
    </row>
    <row r="71" spans="2:13" ht="24" customHeight="1">
      <c r="B71" s="80" t="s">
        <v>74</v>
      </c>
      <c r="C71" s="41">
        <f>11040615995.04</f>
        <v>11040615995.04</v>
      </c>
      <c r="D71" s="41">
        <f>8459089983.16</f>
        <v>8459089983.16</v>
      </c>
      <c r="E71" s="41">
        <f>8408316232.76</f>
        <v>8408316232.76</v>
      </c>
      <c r="F71" s="41">
        <f>180389749.82</f>
        <v>180389749.82</v>
      </c>
      <c r="G71" s="41">
        <f>0</f>
        <v>0</v>
      </c>
      <c r="H71" s="41">
        <f>502282.44</f>
        <v>502282.44</v>
      </c>
      <c r="I71" s="41">
        <f>159329309.09</f>
        <v>159329309.09</v>
      </c>
      <c r="J71" s="41">
        <f>0</f>
        <v>0</v>
      </c>
      <c r="K71" s="72">
        <f>IF($E$57=0,"",100*$E71/$E$71)</f>
        <v>100</v>
      </c>
      <c r="L71" s="72">
        <f>IF(C71=0,"",100*E71/C71)</f>
        <v>76.15803535362011</v>
      </c>
      <c r="M71" s="13"/>
    </row>
    <row r="72" spans="2:13" ht="15" customHeight="1">
      <c r="B72" s="84" t="s">
        <v>75</v>
      </c>
      <c r="C72" s="22">
        <f>9566616123.38</f>
        <v>9566616123.38</v>
      </c>
      <c r="D72" s="22">
        <f>7370074126.07</f>
        <v>7370074126.07</v>
      </c>
      <c r="E72" s="22">
        <f>7323237863.02</f>
        <v>7323237863.02</v>
      </c>
      <c r="F72" s="22">
        <f>172650060.65</f>
        <v>172650060.65</v>
      </c>
      <c r="G72" s="22">
        <f>0</f>
        <v>0</v>
      </c>
      <c r="H72" s="22">
        <f>502200.45</f>
        <v>502200.45</v>
      </c>
      <c r="I72" s="22">
        <f>156007089.91</f>
        <v>156007089.91</v>
      </c>
      <c r="J72" s="22">
        <f>0</f>
        <v>0</v>
      </c>
      <c r="K72" s="36">
        <f>IF($E$57=0,"",100*$E72/$E$71)</f>
        <v>87.09517649309645</v>
      </c>
      <c r="L72" s="36">
        <f>IF(C72=0,"",100*E72/C72)</f>
        <v>76.54992913453094</v>
      </c>
      <c r="M72" s="13"/>
    </row>
    <row r="73" spans="2:13" ht="14.25" customHeight="1">
      <c r="B73" s="85" t="s">
        <v>76</v>
      </c>
      <c r="C73" s="22">
        <f>+C71-C72</f>
        <v>1473999871.6600018</v>
      </c>
      <c r="D73" s="22">
        <f aca="true" t="shared" si="10" ref="D73:J73">+D71-D72</f>
        <v>1089015857.0900002</v>
      </c>
      <c r="E73" s="22">
        <f t="shared" si="10"/>
        <v>1085078369.7399998</v>
      </c>
      <c r="F73" s="22">
        <f t="shared" si="10"/>
        <v>7739689.169999987</v>
      </c>
      <c r="G73" s="22">
        <f t="shared" si="10"/>
        <v>0</v>
      </c>
      <c r="H73" s="22">
        <f t="shared" si="10"/>
        <v>81.98999999999069</v>
      </c>
      <c r="I73" s="22">
        <f t="shared" si="10"/>
        <v>3322219.180000007</v>
      </c>
      <c r="J73" s="22">
        <f t="shared" si="10"/>
        <v>0</v>
      </c>
      <c r="K73" s="36">
        <f>IF($E$57=0,"",100*$E73/$E$71)</f>
        <v>12.904823506903552</v>
      </c>
      <c r="L73" s="36">
        <f>IF(C73=0,"",100*E73/C73)</f>
        <v>73.61454981118804</v>
      </c>
      <c r="M73" s="10"/>
    </row>
    <row r="74" spans="2:13" ht="15">
      <c r="B74" s="101" t="s">
        <v>100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ht="6.75" customHeight="1"/>
    <row r="76" spans="2:8" ht="18" customHeight="1">
      <c r="B76" s="79" t="s">
        <v>16</v>
      </c>
      <c r="C76" s="90" t="s">
        <v>17</v>
      </c>
      <c r="D76" s="91"/>
      <c r="E76" s="90" t="s">
        <v>1</v>
      </c>
      <c r="F76" s="91"/>
      <c r="G76" s="19" t="s">
        <v>26</v>
      </c>
      <c r="H76" s="19" t="s">
        <v>27</v>
      </c>
    </row>
    <row r="77" spans="2:10" ht="13.5" customHeight="1">
      <c r="B77" s="40"/>
      <c r="C77" s="92" t="s">
        <v>77</v>
      </c>
      <c r="D77" s="93"/>
      <c r="E77" s="93"/>
      <c r="F77" s="94"/>
      <c r="G77" s="95" t="s">
        <v>4</v>
      </c>
      <c r="H77" s="96"/>
      <c r="J77" s="14"/>
    </row>
    <row r="78" spans="2:10" ht="11.25" customHeight="1">
      <c r="B78" s="39">
        <v>1</v>
      </c>
      <c r="C78" s="42">
        <v>2</v>
      </c>
      <c r="D78" s="43"/>
      <c r="E78" s="42">
        <v>3</v>
      </c>
      <c r="F78" s="43"/>
      <c r="G78" s="30">
        <v>4</v>
      </c>
      <c r="H78" s="30">
        <v>5</v>
      </c>
      <c r="J78" s="10"/>
    </row>
    <row r="79" spans="2:8" ht="25.5" customHeight="1">
      <c r="B79" s="78" t="s">
        <v>66</v>
      </c>
      <c r="C79" s="44">
        <f>14409256006.17</f>
        <v>14409256006.17</v>
      </c>
      <c r="D79" s="45"/>
      <c r="E79" s="44">
        <f>16650675015.3</f>
        <v>16650675015.3</v>
      </c>
      <c r="F79" s="45"/>
      <c r="G79" s="37">
        <f aca="true" t="shared" si="11" ref="G79:G87">IF($E$79=0,"",100*$E79/$E$79)</f>
        <v>100</v>
      </c>
      <c r="H79" s="35">
        <f>IF(C79=0,"",100*E79/C79)</f>
        <v>115.55541110637657</v>
      </c>
    </row>
    <row r="80" spans="2:8" ht="35.25" customHeight="1">
      <c r="B80" s="60" t="s">
        <v>87</v>
      </c>
      <c r="C80" s="46">
        <f>7826414821.08</f>
        <v>7826414821.08</v>
      </c>
      <c r="D80" s="47"/>
      <c r="E80" s="46">
        <f>6524488425.47</f>
        <v>6524488425.47</v>
      </c>
      <c r="F80" s="47"/>
      <c r="G80" s="56">
        <f t="shared" si="11"/>
        <v>39.184528071533244</v>
      </c>
      <c r="H80" s="57">
        <f aca="true" t="shared" si="12" ref="H80:H92">IF(C80=0,"",100*E80/C80)</f>
        <v>83.36497073853873</v>
      </c>
    </row>
    <row r="81" spans="2:8" ht="22.5">
      <c r="B81" s="73" t="s">
        <v>88</v>
      </c>
      <c r="C81" s="74">
        <f>346847276.07</f>
        <v>346847276.07</v>
      </c>
      <c r="D81" s="75"/>
      <c r="E81" s="74">
        <f>323894000</f>
        <v>323894000</v>
      </c>
      <c r="F81" s="75"/>
      <c r="G81" s="76">
        <f t="shared" si="11"/>
        <v>1.94523044682801</v>
      </c>
      <c r="H81" s="67">
        <f t="shared" si="12"/>
        <v>93.38231041336833</v>
      </c>
    </row>
    <row r="82" spans="2:8" ht="12.75">
      <c r="B82" s="77" t="s">
        <v>89</v>
      </c>
      <c r="C82" s="74">
        <f>61908898.96</f>
        <v>61908898.96</v>
      </c>
      <c r="D82" s="75"/>
      <c r="E82" s="74">
        <f>53262837.97</f>
        <v>53262837.97</v>
      </c>
      <c r="F82" s="75"/>
      <c r="G82" s="76">
        <f t="shared" si="11"/>
        <v>0.3198839561823035</v>
      </c>
      <c r="H82" s="67">
        <f t="shared" si="12"/>
        <v>86.03421941716923</v>
      </c>
    </row>
    <row r="83" spans="2:8" ht="12.75">
      <c r="B83" s="77" t="s">
        <v>90</v>
      </c>
      <c r="C83" s="74">
        <f>1301750068.52</f>
        <v>1301750068.52</v>
      </c>
      <c r="D83" s="75"/>
      <c r="E83" s="74">
        <f>2273125999.92</f>
        <v>2273125999.92</v>
      </c>
      <c r="F83" s="75"/>
      <c r="G83" s="76">
        <f t="shared" si="11"/>
        <v>13.65185494180426</v>
      </c>
      <c r="H83" s="67">
        <f t="shared" si="12"/>
        <v>174.62077052197796</v>
      </c>
    </row>
    <row r="84" spans="2:8" ht="45">
      <c r="B84" s="77" t="s">
        <v>101</v>
      </c>
      <c r="C84" s="74">
        <f>799397608.87</f>
        <v>799397608.87</v>
      </c>
      <c r="D84" s="75"/>
      <c r="E84" s="74">
        <f>887683624.69</f>
        <v>887683624.69</v>
      </c>
      <c r="F84" s="75"/>
      <c r="G84" s="76">
        <f t="shared" si="11"/>
        <v>5.331217046001582</v>
      </c>
      <c r="H84" s="67">
        <f t="shared" si="12"/>
        <v>111.04406803828172</v>
      </c>
    </row>
    <row r="85" spans="2:8" ht="13.5" customHeight="1">
      <c r="B85" s="77" t="s">
        <v>91</v>
      </c>
      <c r="C85" s="74">
        <f>0</f>
        <v>0</v>
      </c>
      <c r="D85" s="75"/>
      <c r="E85" s="74">
        <f>0</f>
        <v>0</v>
      </c>
      <c r="F85" s="75"/>
      <c r="G85" s="76">
        <f t="shared" si="11"/>
        <v>0</v>
      </c>
      <c r="H85" s="67">
        <f t="shared" si="12"/>
      </c>
    </row>
    <row r="86" spans="2:8" ht="40.5" customHeight="1">
      <c r="B86" s="77" t="s">
        <v>102</v>
      </c>
      <c r="C86" s="74">
        <f>4402821376.05</f>
        <v>4402821376.05</v>
      </c>
      <c r="D86" s="75"/>
      <c r="E86" s="74">
        <f>6780346149.94</f>
        <v>6780346149.94</v>
      </c>
      <c r="F86" s="75"/>
      <c r="G86" s="76">
        <f t="shared" si="11"/>
        <v>40.721148804535936</v>
      </c>
      <c r="H86" s="67">
        <f t="shared" si="12"/>
        <v>154.00002795532444</v>
      </c>
    </row>
    <row r="87" spans="2:8" ht="12.75">
      <c r="B87" s="77" t="s">
        <v>79</v>
      </c>
      <c r="C87" s="74">
        <f>16963232.69</f>
        <v>16963232.69</v>
      </c>
      <c r="D87" s="75"/>
      <c r="E87" s="74">
        <f>131767977.31</f>
        <v>131767977.31</v>
      </c>
      <c r="F87" s="75"/>
      <c r="G87" s="76">
        <f t="shared" si="11"/>
        <v>0.79136717994268</v>
      </c>
      <c r="H87" s="67">
        <f t="shared" si="12"/>
        <v>776.7857678900942</v>
      </c>
    </row>
    <row r="88" spans="2:8" ht="25.5" customHeight="1">
      <c r="B88" s="78" t="s">
        <v>67</v>
      </c>
      <c r="C88" s="54">
        <f>5987093153.42</f>
        <v>5987093153.42</v>
      </c>
      <c r="D88" s="55"/>
      <c r="E88" s="54">
        <f>5848711857</f>
        <v>5848711857</v>
      </c>
      <c r="F88" s="55"/>
      <c r="G88" s="37">
        <f>IF($E$88=0,"",100*$E88/$E$88)</f>
        <v>100</v>
      </c>
      <c r="H88" s="35">
        <f t="shared" si="12"/>
        <v>97.68867306931824</v>
      </c>
    </row>
    <row r="89" spans="2:8" ht="36" customHeight="1">
      <c r="B89" s="60" t="s">
        <v>92</v>
      </c>
      <c r="C89" s="46">
        <f>4702458558.55</f>
        <v>4702458558.55</v>
      </c>
      <c r="D89" s="52"/>
      <c r="E89" s="53">
        <f>4655522852.72</f>
        <v>4655522852.72</v>
      </c>
      <c r="F89" s="52"/>
      <c r="G89" s="56">
        <f>IF($E$88=0,"",100*$E89/$E$88)</f>
        <v>79.59911458363369</v>
      </c>
      <c r="H89" s="57">
        <f t="shared" si="12"/>
        <v>99.00189006993668</v>
      </c>
    </row>
    <row r="90" spans="2:8" ht="24.75" customHeight="1">
      <c r="B90" s="77" t="s">
        <v>93</v>
      </c>
      <c r="C90" s="74">
        <f>90587050</f>
        <v>90587050</v>
      </c>
      <c r="D90" s="75"/>
      <c r="E90" s="74">
        <f>90971048</f>
        <v>90971048</v>
      </c>
      <c r="F90" s="75"/>
      <c r="G90" s="76">
        <f>IF($E$88=0,"",100*$E90/$E$88)</f>
        <v>1.5554031421657708</v>
      </c>
      <c r="H90" s="67">
        <f t="shared" si="12"/>
        <v>100.42389944258036</v>
      </c>
    </row>
    <row r="91" spans="2:8" ht="12.75">
      <c r="B91" s="73" t="s">
        <v>94</v>
      </c>
      <c r="C91" s="74">
        <f>61489413.41</f>
        <v>61489413.41</v>
      </c>
      <c r="D91" s="75"/>
      <c r="E91" s="74">
        <f>53791325.48</f>
        <v>53791325.48</v>
      </c>
      <c r="F91" s="75"/>
      <c r="G91" s="76">
        <f>IF($E$88=0,"",100*$E91/$E$88)</f>
        <v>0.9197123536804115</v>
      </c>
      <c r="H91" s="67">
        <f t="shared" si="12"/>
        <v>87.4806287731669</v>
      </c>
    </row>
    <row r="92" spans="2:8" ht="12.75">
      <c r="B92" s="77" t="s">
        <v>33</v>
      </c>
      <c r="C92" s="74">
        <f>1223145181.46</f>
        <v>1223145181.46</v>
      </c>
      <c r="D92" s="75"/>
      <c r="E92" s="74">
        <f>1139397678.8</f>
        <v>1139397678.8</v>
      </c>
      <c r="F92" s="75"/>
      <c r="G92" s="76">
        <f>IF($E$88=0,"",100*$E92/$E$88)</f>
        <v>19.481173062685894</v>
      </c>
      <c r="H92" s="67">
        <f t="shared" si="12"/>
        <v>93.1531020250568</v>
      </c>
    </row>
    <row r="93" ht="7.5" customHeight="1"/>
    <row r="94" spans="2:6" ht="12.75">
      <c r="B94" s="79" t="s">
        <v>16</v>
      </c>
      <c r="C94" s="90" t="s">
        <v>17</v>
      </c>
      <c r="D94" s="91"/>
      <c r="E94" s="90" t="s">
        <v>1</v>
      </c>
      <c r="F94" s="91"/>
    </row>
    <row r="95" spans="2:6" ht="12.75">
      <c r="B95" s="40"/>
      <c r="C95" s="92" t="s">
        <v>77</v>
      </c>
      <c r="D95" s="93"/>
      <c r="E95" s="93"/>
      <c r="F95" s="94"/>
    </row>
    <row r="96" spans="2:6" ht="12.75">
      <c r="B96" s="39">
        <v>1</v>
      </c>
      <c r="C96" s="42">
        <v>2</v>
      </c>
      <c r="D96" s="43"/>
      <c r="E96" s="42">
        <v>3</v>
      </c>
      <c r="F96" s="43"/>
    </row>
    <row r="97" spans="2:6" ht="31.5" customHeight="1">
      <c r="B97" s="61" t="s">
        <v>80</v>
      </c>
      <c r="C97" s="51">
        <f>8864672059.78</f>
        <v>8864672059.78</v>
      </c>
      <c r="D97" s="48"/>
      <c r="E97" s="51">
        <f>1433540714.77</f>
        <v>1433540714.77</v>
      </c>
      <c r="F97" s="45"/>
    </row>
    <row r="98" spans="2:6" ht="47.25" customHeight="1">
      <c r="B98" s="59" t="s">
        <v>81</v>
      </c>
      <c r="C98" s="53">
        <f>252355704.67</f>
        <v>252355704.67</v>
      </c>
      <c r="D98" s="52"/>
      <c r="E98" s="53">
        <f>52599001.66</f>
        <v>52599001.66</v>
      </c>
      <c r="F98" s="52"/>
    </row>
    <row r="99" spans="2:6" ht="12.75">
      <c r="B99" s="59" t="s">
        <v>82</v>
      </c>
      <c r="C99" s="53">
        <f>4760010954.83</f>
        <v>4760010954.83</v>
      </c>
      <c r="D99" s="52"/>
      <c r="E99" s="53">
        <f>912908571.29</f>
        <v>912908571.29</v>
      </c>
      <c r="F99" s="52"/>
    </row>
    <row r="100" spans="2:6" ht="25.5" customHeight="1">
      <c r="B100" s="59" t="s">
        <v>83</v>
      </c>
      <c r="C100" s="53">
        <f>0</f>
        <v>0</v>
      </c>
      <c r="D100" s="52"/>
      <c r="E100" s="53">
        <f>0</f>
        <v>0</v>
      </c>
      <c r="F100" s="52"/>
    </row>
    <row r="101" spans="2:6" ht="33.75">
      <c r="B101" s="59" t="s">
        <v>84</v>
      </c>
      <c r="C101" s="53">
        <f>647365156.43</f>
        <v>647365156.43</v>
      </c>
      <c r="D101" s="52"/>
      <c r="E101" s="53">
        <f>75074452.71</f>
        <v>75074452.71</v>
      </c>
      <c r="F101" s="52"/>
    </row>
    <row r="102" spans="2:6" ht="107.25" customHeight="1">
      <c r="B102" s="59" t="s">
        <v>85</v>
      </c>
      <c r="C102" s="53">
        <f>2537487826.05</f>
        <v>2537487826.05</v>
      </c>
      <c r="D102" s="52"/>
      <c r="E102" s="53">
        <f>258538954.17</f>
        <v>258538954.17</v>
      </c>
      <c r="F102" s="52"/>
    </row>
    <row r="103" ht="7.5" customHeight="1"/>
    <row r="104" ht="7.5" customHeight="1"/>
  </sheetData>
  <sheetProtection/>
  <mergeCells count="37">
    <mergeCell ref="C94:D94"/>
    <mergeCell ref="E94:F94"/>
    <mergeCell ref="C95:F95"/>
    <mergeCell ref="I66:J66"/>
    <mergeCell ref="I67:J67"/>
    <mergeCell ref="B74:M74"/>
    <mergeCell ref="B52:B55"/>
    <mergeCell ref="K52:K54"/>
    <mergeCell ref="K55:L55"/>
    <mergeCell ref="G53:H53"/>
    <mergeCell ref="L52:L54"/>
    <mergeCell ref="I59:J59"/>
    <mergeCell ref="I60:J60"/>
    <mergeCell ref="I56:J56"/>
    <mergeCell ref="I57:J57"/>
    <mergeCell ref="B3:B4"/>
    <mergeCell ref="K4:M4"/>
    <mergeCell ref="C4:J4"/>
    <mergeCell ref="C55:J55"/>
    <mergeCell ref="C52:C54"/>
    <mergeCell ref="B50:M50"/>
    <mergeCell ref="B1:M1"/>
    <mergeCell ref="I52:J54"/>
    <mergeCell ref="D52:D54"/>
    <mergeCell ref="E52:E54"/>
    <mergeCell ref="F53:F54"/>
    <mergeCell ref="F52:H52"/>
    <mergeCell ref="I58:J58"/>
    <mergeCell ref="I65:J65"/>
    <mergeCell ref="C76:D76"/>
    <mergeCell ref="E76:F76"/>
    <mergeCell ref="C77:F77"/>
    <mergeCell ref="G77:H77"/>
    <mergeCell ref="I63:J63"/>
    <mergeCell ref="I64:J64"/>
    <mergeCell ref="I61:J61"/>
    <mergeCell ref="I62:J62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5" manualBreakCount="5">
    <brk id="21" max="255" man="1"/>
    <brk id="49" max="255" man="1"/>
    <brk id="73" max="255" man="1"/>
    <brk id="93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2021-04-20T08:29:20Z</dcterms:modified>
  <cp:category/>
  <cp:version/>
  <cp:contentType/>
  <cp:contentStatus/>
</cp:coreProperties>
</file>