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86" i="7" s="1"/>
  <c r="A1" i="7" l="1"/>
  <c r="A30" i="7"/>
  <c r="A67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<sst xmlns="http://schemas.openxmlformats.org/spreadsheetml/2006/main" count="93" uniqueCount="79">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</sst>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0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19" borderId="21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7" t="str">
        <f>CONCATENATE("Informacja z wykonania budżetów jednostek samorządu terytorialnego za ",$C$94," ",$B$95," roku")</f>
        <v>Informacja z wykonania budżetów jednostek samorządu terytorialnego za I Kwartał 2023 roku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9" t="s">
        <v>60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7" ht="13.5" customHeight="1" x14ac:dyDescent="0.2">
      <c r="B5" s="11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10"/>
      <c r="O5" s="10"/>
      <c r="P5" s="10"/>
      <c r="Q5" s="10"/>
    </row>
    <row r="6" spans="1:17" ht="13.5" customHeight="1" x14ac:dyDescent="0.2">
      <c r="A6" s="41" t="s">
        <v>0</v>
      </c>
      <c r="B6" s="40" t="s">
        <v>61</v>
      </c>
      <c r="C6" s="44" t="s">
        <v>65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44" t="s">
        <v>64</v>
      </c>
      <c r="P6" s="45"/>
      <c r="Q6" s="46"/>
    </row>
    <row r="7" spans="1:17" ht="13.5" customHeight="1" x14ac:dyDescent="0.2">
      <c r="A7" s="42"/>
      <c r="B7" s="34"/>
      <c r="C7" s="33" t="s">
        <v>62</v>
      </c>
      <c r="D7" s="33" t="s">
        <v>73</v>
      </c>
      <c r="E7" s="33" t="s">
        <v>66</v>
      </c>
      <c r="F7" s="33" t="s">
        <v>67</v>
      </c>
      <c r="G7" s="33" t="s">
        <v>27</v>
      </c>
      <c r="H7" s="33" t="s">
        <v>28</v>
      </c>
      <c r="I7" s="35" t="s">
        <v>63</v>
      </c>
      <c r="J7" s="33" t="s">
        <v>16</v>
      </c>
      <c r="K7" s="33" t="s">
        <v>17</v>
      </c>
      <c r="L7" s="33" t="s">
        <v>18</v>
      </c>
      <c r="M7" s="33" t="s">
        <v>19</v>
      </c>
      <c r="N7" s="34" t="s">
        <v>20</v>
      </c>
      <c r="O7" s="29" t="s">
        <v>21</v>
      </c>
      <c r="P7" s="29" t="s">
        <v>22</v>
      </c>
      <c r="Q7" s="29" t="s">
        <v>23</v>
      </c>
    </row>
    <row r="8" spans="1:17" ht="13.5" customHeight="1" x14ac:dyDescent="0.2">
      <c r="A8" s="42"/>
      <c r="B8" s="34"/>
      <c r="C8" s="29"/>
      <c r="D8" s="29"/>
      <c r="E8" s="29"/>
      <c r="F8" s="29"/>
      <c r="G8" s="29"/>
      <c r="H8" s="29"/>
      <c r="I8" s="35"/>
      <c r="J8" s="29"/>
      <c r="K8" s="29"/>
      <c r="L8" s="29"/>
      <c r="M8" s="29"/>
      <c r="N8" s="34"/>
      <c r="O8" s="29"/>
      <c r="P8" s="29"/>
      <c r="Q8" s="29"/>
    </row>
    <row r="9" spans="1:17" ht="13.5" customHeight="1" x14ac:dyDescent="0.2">
      <c r="A9" s="42"/>
      <c r="B9" s="34"/>
      <c r="C9" s="29"/>
      <c r="D9" s="29"/>
      <c r="E9" s="29"/>
      <c r="F9" s="29"/>
      <c r="G9" s="29"/>
      <c r="H9" s="29"/>
      <c r="I9" s="35"/>
      <c r="J9" s="29"/>
      <c r="K9" s="29"/>
      <c r="L9" s="29"/>
      <c r="M9" s="29"/>
      <c r="N9" s="34"/>
      <c r="O9" s="29"/>
      <c r="P9" s="29"/>
      <c r="Q9" s="29"/>
    </row>
    <row r="10" spans="1:17" ht="11.25" customHeight="1" x14ac:dyDescent="0.2">
      <c r="A10" s="42"/>
      <c r="B10" s="34"/>
      <c r="C10" s="29"/>
      <c r="D10" s="29"/>
      <c r="E10" s="29"/>
      <c r="F10" s="29"/>
      <c r="G10" s="29"/>
      <c r="H10" s="29"/>
      <c r="I10" s="35"/>
      <c r="J10" s="29"/>
      <c r="K10" s="29"/>
      <c r="L10" s="29"/>
      <c r="M10" s="29"/>
      <c r="N10" s="34"/>
      <c r="O10" s="29"/>
      <c r="P10" s="29"/>
      <c r="Q10" s="29"/>
    </row>
    <row r="11" spans="1:17" ht="27.75" customHeight="1" x14ac:dyDescent="0.2">
      <c r="A11" s="43"/>
      <c r="B11" s="33"/>
      <c r="C11" s="29"/>
      <c r="D11" s="29"/>
      <c r="E11" s="29"/>
      <c r="F11" s="29"/>
      <c r="G11" s="29"/>
      <c r="H11" s="29"/>
      <c r="I11" s="36"/>
      <c r="J11" s="29"/>
      <c r="K11" s="29"/>
      <c r="L11" s="29"/>
      <c r="M11" s="29"/>
      <c r="N11" s="33"/>
      <c r="O11" s="29"/>
      <c r="P11" s="29"/>
      <c r="Q11" s="29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89197116897.61</f>
        <v>89197116897.610001</v>
      </c>
      <c r="C13" s="21">
        <f>65235606859.62</f>
        <v>65235606859.620003</v>
      </c>
      <c r="D13" s="21">
        <f>3263591945.59</f>
        <v>3263591945.5900002</v>
      </c>
      <c r="E13" s="21">
        <f>605227512</f>
        <v>605227512</v>
      </c>
      <c r="F13" s="21">
        <f>675907344.01</f>
        <v>675907344.00999999</v>
      </c>
      <c r="G13" s="21">
        <f>1982411766.58</f>
        <v>1982411766.5799999</v>
      </c>
      <c r="H13" s="21">
        <f>45323</f>
        <v>45323</v>
      </c>
      <c r="I13" s="21">
        <f>0</f>
        <v>0</v>
      </c>
      <c r="J13" s="21">
        <f>57181409469.87</f>
        <v>57181409469.870003</v>
      </c>
      <c r="K13" s="21">
        <f>2829122894.88</f>
        <v>2829122894.8800001</v>
      </c>
      <c r="L13" s="21">
        <f>1913571270.68</f>
        <v>1913571270.6800001</v>
      </c>
      <c r="M13" s="21">
        <f>26350589.83</f>
        <v>26350589.829999998</v>
      </c>
      <c r="N13" s="21">
        <f>21560688.77</f>
        <v>21560688.77</v>
      </c>
      <c r="O13" s="21">
        <f>23961510037.99</f>
        <v>23961510037.990002</v>
      </c>
      <c r="P13" s="21">
        <f>23939006827.25</f>
        <v>23939006827.25</v>
      </c>
      <c r="Q13" s="21">
        <f>22503210.74</f>
        <v>22503210.739999998</v>
      </c>
    </row>
    <row r="14" spans="1:17" ht="41.25" customHeight="1" x14ac:dyDescent="0.2">
      <c r="A14" s="19" t="s">
        <v>75</v>
      </c>
      <c r="B14" s="21">
        <f>5344494199.02</f>
        <v>5344494199.0200005</v>
      </c>
      <c r="C14" s="21">
        <f>5344494199.02</f>
        <v>5344494199.0200005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5125746293.65</f>
        <v>5125746293.6499996</v>
      </c>
      <c r="K14" s="21">
        <f>218500000</f>
        <v>218500000</v>
      </c>
      <c r="L14" s="21">
        <f>247905.37</f>
        <v>247905.37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15568448.64</f>
        <v>15568448.640000001</v>
      </c>
      <c r="C15" s="22">
        <f>15568448.64</f>
        <v>15568448.640000001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15220543.27</f>
        <v>15220543.27</v>
      </c>
      <c r="K15" s="22">
        <f>100000</f>
        <v>100000</v>
      </c>
      <c r="L15" s="22">
        <f>247905.37</f>
        <v>247905.37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5328925750.38</f>
        <v>5328925750.3800001</v>
      </c>
      <c r="C16" s="22">
        <f>5328925750.38</f>
        <v>5328925750.3800001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5110525750.38</f>
        <v>5110525750.3800001</v>
      </c>
      <c r="K16" s="22">
        <f>218400000</f>
        <v>218400000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83775189288.11</f>
        <v>83775189288.110001</v>
      </c>
      <c r="C17" s="21">
        <f>59813682460.86</f>
        <v>59813682460.860001</v>
      </c>
      <c r="D17" s="21">
        <f>3241702101.02</f>
        <v>3241702101.02</v>
      </c>
      <c r="E17" s="21">
        <f>598380555.3</f>
        <v>598380555.29999995</v>
      </c>
      <c r="F17" s="21">
        <f>675618043.31</f>
        <v>675618043.30999994</v>
      </c>
      <c r="G17" s="21">
        <f>1967678114.47</f>
        <v>1967678114.47</v>
      </c>
      <c r="H17" s="21">
        <f>25387.94</f>
        <v>25387.94</v>
      </c>
      <c r="I17" s="21">
        <f>0</f>
        <v>0</v>
      </c>
      <c r="J17" s="21">
        <f>52054786472.66</f>
        <v>52054786472.660004</v>
      </c>
      <c r="K17" s="21">
        <f>2610509181.05</f>
        <v>2610509181.0500002</v>
      </c>
      <c r="L17" s="21">
        <f>1885761019.87</f>
        <v>1885761019.8699999</v>
      </c>
      <c r="M17" s="21">
        <f>5269657.15</f>
        <v>5269657.1500000004</v>
      </c>
      <c r="N17" s="21">
        <f>15654029.11</f>
        <v>15654029.109999999</v>
      </c>
      <c r="O17" s="21">
        <f>23961506827.25</f>
        <v>23961506827.25</v>
      </c>
      <c r="P17" s="21">
        <f>23939006827.25</f>
        <v>23939006827.25</v>
      </c>
      <c r="Q17" s="21">
        <f>22500000</f>
        <v>22500000</v>
      </c>
    </row>
    <row r="18" spans="1:17" ht="22.5" x14ac:dyDescent="0.2">
      <c r="A18" s="16" t="s">
        <v>48</v>
      </c>
      <c r="B18" s="22">
        <f>433917108.85</f>
        <v>433917108.85000002</v>
      </c>
      <c r="C18" s="22">
        <f>433917108.85</f>
        <v>433917108.85000002</v>
      </c>
      <c r="D18" s="22">
        <f>18489817.96</f>
        <v>18489817.960000001</v>
      </c>
      <c r="E18" s="22">
        <f>11258052.82</f>
        <v>11258052.82</v>
      </c>
      <c r="F18" s="22">
        <f>2535244.45</f>
        <v>2535244.4500000002</v>
      </c>
      <c r="G18" s="22">
        <f>4696520.69</f>
        <v>4696520.6900000004</v>
      </c>
      <c r="H18" s="22">
        <f>0</f>
        <v>0</v>
      </c>
      <c r="I18" s="22">
        <f>0</f>
        <v>0</v>
      </c>
      <c r="J18" s="22">
        <f>376347183.97</f>
        <v>376347183.97000003</v>
      </c>
      <c r="K18" s="22">
        <f>37387889.41</f>
        <v>37387889.409999996</v>
      </c>
      <c r="L18" s="22">
        <f>1674217.51</f>
        <v>1674217.51</v>
      </c>
      <c r="M18" s="22">
        <f>18000</f>
        <v>18000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83341272179.26</f>
        <v>83341272179.259995</v>
      </c>
      <c r="C19" s="22">
        <f>59379765352.01</f>
        <v>59379765352.010002</v>
      </c>
      <c r="D19" s="22">
        <f>3223212283.06</f>
        <v>3223212283.0599999</v>
      </c>
      <c r="E19" s="22">
        <f>587122502.48</f>
        <v>587122502.48000002</v>
      </c>
      <c r="F19" s="22">
        <f>673082798.86</f>
        <v>673082798.86000001</v>
      </c>
      <c r="G19" s="22">
        <f>1962981593.78</f>
        <v>1962981593.78</v>
      </c>
      <c r="H19" s="22">
        <f>25387.94</f>
        <v>25387.94</v>
      </c>
      <c r="I19" s="22">
        <f>0</f>
        <v>0</v>
      </c>
      <c r="J19" s="22">
        <f>51678439288.69</f>
        <v>51678439288.690002</v>
      </c>
      <c r="K19" s="22">
        <f>2573121291.64</f>
        <v>2573121291.6399999</v>
      </c>
      <c r="L19" s="22">
        <f>1884086802.36</f>
        <v>1884086802.3599999</v>
      </c>
      <c r="M19" s="22">
        <f>5251657.15</f>
        <v>5251657.1500000004</v>
      </c>
      <c r="N19" s="22">
        <f>15654029.11</f>
        <v>15654029.109999999</v>
      </c>
      <c r="O19" s="22">
        <f>23961506827.25</f>
        <v>23961506827.25</v>
      </c>
      <c r="P19" s="22">
        <f>23939006827.25</f>
        <v>23939006827.25</v>
      </c>
      <c r="Q19" s="22">
        <f>22500000</f>
        <v>22500000</v>
      </c>
    </row>
    <row r="20" spans="1:17" ht="24.75" customHeight="1" x14ac:dyDescent="0.2">
      <c r="A20" s="26" t="s">
        <v>50</v>
      </c>
      <c r="B20" s="27">
        <f>0</f>
        <v>0</v>
      </c>
      <c r="C20" s="27">
        <f>0</f>
        <v>0</v>
      </c>
      <c r="D20" s="27">
        <f>0</f>
        <v>0</v>
      </c>
      <c r="E20" s="27">
        <f>0</f>
        <v>0</v>
      </c>
      <c r="F20" s="27">
        <f>0</f>
        <v>0</v>
      </c>
      <c r="G20" s="27">
        <f>0</f>
        <v>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77433410.48</f>
        <v>77433410.480000004</v>
      </c>
      <c r="C21" s="21">
        <f>77430199.74</f>
        <v>77430199.739999995</v>
      </c>
      <c r="D21" s="21">
        <f>21889844.57</f>
        <v>21889844.57</v>
      </c>
      <c r="E21" s="21">
        <f>6846956.7</f>
        <v>6846956.7000000002</v>
      </c>
      <c r="F21" s="21">
        <f>289300.7</f>
        <v>289300.7</v>
      </c>
      <c r="G21" s="21">
        <f>14733652.11</f>
        <v>14733652.109999999</v>
      </c>
      <c r="H21" s="21">
        <f>19935.06</f>
        <v>19935.060000000001</v>
      </c>
      <c r="I21" s="21">
        <f>0</f>
        <v>0</v>
      </c>
      <c r="J21" s="21">
        <f>876703.56</f>
        <v>876703.56</v>
      </c>
      <c r="K21" s="21">
        <f>113713.83</f>
        <v>113713.83</v>
      </c>
      <c r="L21" s="21">
        <f>27562345.44</f>
        <v>27562345.440000001</v>
      </c>
      <c r="M21" s="21">
        <f>21080932.68</f>
        <v>21080932.68</v>
      </c>
      <c r="N21" s="21">
        <f>5906659.66</f>
        <v>5906659.6600000001</v>
      </c>
      <c r="O21" s="21">
        <f>3210.74</f>
        <v>3210.74</v>
      </c>
      <c r="P21" s="21">
        <f>0</f>
        <v>0</v>
      </c>
      <c r="Q21" s="21">
        <f>3210.74</f>
        <v>3210.74</v>
      </c>
    </row>
    <row r="22" spans="1:17" ht="33" customHeight="1" x14ac:dyDescent="0.2">
      <c r="A22" s="17" t="s">
        <v>51</v>
      </c>
      <c r="B22" s="22">
        <f>42433442.36</f>
        <v>42433442.359999999</v>
      </c>
      <c r="C22" s="22">
        <f>42433442.36</f>
        <v>42433442.359999999</v>
      </c>
      <c r="D22" s="22">
        <f>1468242.41</f>
        <v>1468242.41</v>
      </c>
      <c r="E22" s="22">
        <f>155.48</f>
        <v>155.47999999999999</v>
      </c>
      <c r="F22" s="22">
        <f>250</f>
        <v>250</v>
      </c>
      <c r="G22" s="22">
        <f>1467836.93</f>
        <v>1467836.93</v>
      </c>
      <c r="H22" s="22">
        <f>0</f>
        <v>0</v>
      </c>
      <c r="I22" s="22">
        <f>0</f>
        <v>0</v>
      </c>
      <c r="J22" s="22">
        <f>455268</f>
        <v>455268</v>
      </c>
      <c r="K22" s="22">
        <f>759.76</f>
        <v>759.76</v>
      </c>
      <c r="L22" s="22">
        <f>18225935.62</f>
        <v>18225935.620000001</v>
      </c>
      <c r="M22" s="22">
        <f>16989500.38</f>
        <v>16989500.379999999</v>
      </c>
      <c r="N22" s="22">
        <f>5293736.19</f>
        <v>5293736.1900000004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34999968.12</f>
        <v>34999968.119999997</v>
      </c>
      <c r="C23" s="22">
        <f>34996757.38</f>
        <v>34996757.380000003</v>
      </c>
      <c r="D23" s="22">
        <f>20421602.16</f>
        <v>20421602.16</v>
      </c>
      <c r="E23" s="22">
        <f>6846801.22</f>
        <v>6846801.2199999997</v>
      </c>
      <c r="F23" s="22">
        <f>289050.7</f>
        <v>289050.7</v>
      </c>
      <c r="G23" s="22">
        <f>13265815.18</f>
        <v>13265815.18</v>
      </c>
      <c r="H23" s="22">
        <f>19935.06</f>
        <v>19935.060000000001</v>
      </c>
      <c r="I23" s="22">
        <f>0</f>
        <v>0</v>
      </c>
      <c r="J23" s="22">
        <f>421435.56</f>
        <v>421435.56</v>
      </c>
      <c r="K23" s="22">
        <f>112954.07</f>
        <v>112954.07</v>
      </c>
      <c r="L23" s="22">
        <f>9336409.82</f>
        <v>9336409.8200000003</v>
      </c>
      <c r="M23" s="22">
        <f>4091432.3</f>
        <v>4091432.3</v>
      </c>
      <c r="N23" s="22">
        <f>612923.47</f>
        <v>612923.47</v>
      </c>
      <c r="O23" s="22">
        <f>3210.74</f>
        <v>3210.74</v>
      </c>
      <c r="P23" s="22">
        <f>0</f>
        <v>0</v>
      </c>
      <c r="Q23" s="22">
        <f>3210.74</f>
        <v>3210.74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7" t="str">
        <f>CONCATENATE("Informacja z wykonania budżetów jednostek samorządu terytorialnego za ",$C$94," ",$B$95," roku")</f>
        <v>Informacja z wykonania budżetów jednostek samorządu terytorialnego za I Kwartał 2023 roku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2" spans="1:17" ht="13.5" customHeight="1" x14ac:dyDescent="0.2">
      <c r="A32" s="39" t="s">
        <v>11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4" spans="1:17" ht="13.5" customHeight="1" x14ac:dyDescent="0.2">
      <c r="A34" s="41" t="s">
        <v>0</v>
      </c>
      <c r="B34" s="40" t="s">
        <v>12</v>
      </c>
      <c r="C34" s="30" t="s">
        <v>14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30" t="s">
        <v>24</v>
      </c>
      <c r="P34" s="31"/>
      <c r="Q34" s="32"/>
    </row>
    <row r="35" spans="1:17" ht="13.5" customHeight="1" x14ac:dyDescent="0.2">
      <c r="A35" s="42"/>
      <c r="B35" s="34"/>
      <c r="C35" s="34" t="s">
        <v>13</v>
      </c>
      <c r="D35" s="29" t="s">
        <v>15</v>
      </c>
      <c r="E35" s="29" t="s">
        <v>25</v>
      </c>
      <c r="F35" s="29" t="s">
        <v>26</v>
      </c>
      <c r="G35" s="29" t="s">
        <v>70</v>
      </c>
      <c r="H35" s="29" t="s">
        <v>28</v>
      </c>
      <c r="I35" s="29" t="s">
        <v>1</v>
      </c>
      <c r="J35" s="29" t="s">
        <v>16</v>
      </c>
      <c r="K35" s="29" t="s">
        <v>17</v>
      </c>
      <c r="L35" s="29" t="s">
        <v>18</v>
      </c>
      <c r="M35" s="29" t="s">
        <v>19</v>
      </c>
      <c r="N35" s="47" t="s">
        <v>20</v>
      </c>
      <c r="O35" s="29" t="s">
        <v>21</v>
      </c>
      <c r="P35" s="29" t="s">
        <v>22</v>
      </c>
      <c r="Q35" s="40" t="s">
        <v>23</v>
      </c>
    </row>
    <row r="36" spans="1:17" ht="13.5" customHeight="1" x14ac:dyDescent="0.2">
      <c r="A36" s="42"/>
      <c r="B36" s="34"/>
      <c r="C36" s="3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47"/>
      <c r="O36" s="29"/>
      <c r="P36" s="29"/>
      <c r="Q36" s="34"/>
    </row>
    <row r="37" spans="1:17" ht="11.25" customHeight="1" x14ac:dyDescent="0.2">
      <c r="A37" s="42"/>
      <c r="B37" s="34"/>
      <c r="C37" s="3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47"/>
      <c r="O37" s="29"/>
      <c r="P37" s="29"/>
      <c r="Q37" s="34"/>
    </row>
    <row r="38" spans="1:17" ht="32.25" customHeight="1" x14ac:dyDescent="0.2">
      <c r="A38" s="43"/>
      <c r="B38" s="33"/>
      <c r="C38" s="33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7"/>
      <c r="O38" s="29"/>
      <c r="P38" s="29"/>
      <c r="Q38" s="33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14735383.35</f>
        <v>14735383.35</v>
      </c>
      <c r="C40" s="23">
        <f>14735383.35</f>
        <v>14735383.35</v>
      </c>
      <c r="D40" s="23">
        <f>394245.17</f>
        <v>394245.17</v>
      </c>
      <c r="E40" s="23">
        <f>50000</f>
        <v>50000</v>
      </c>
      <c r="F40" s="23">
        <f>0</f>
        <v>0</v>
      </c>
      <c r="G40" s="23">
        <f>344245.17</f>
        <v>344245.17</v>
      </c>
      <c r="H40" s="23">
        <f>0</f>
        <v>0</v>
      </c>
      <c r="I40" s="23">
        <f>0</f>
        <v>0</v>
      </c>
      <c r="J40" s="23">
        <f>128844.4</f>
        <v>128844.4</v>
      </c>
      <c r="K40" s="23">
        <f>25555</f>
        <v>25555</v>
      </c>
      <c r="L40" s="23">
        <f>12295429.33</f>
        <v>12295429.33</v>
      </c>
      <c r="M40" s="23">
        <f>1891309.45</f>
        <v>1891309.45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2794470.76</f>
        <v>2794470.76</v>
      </c>
      <c r="C41" s="24">
        <f>2794470.76</f>
        <v>2794470.76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2352038.08</f>
        <v>2352038.08</v>
      </c>
      <c r="M41" s="24">
        <f>436432.68</f>
        <v>436432.68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11940912.59</f>
        <v>11940912.59</v>
      </c>
      <c r="C42" s="24">
        <f>11940912.59</f>
        <v>11940912.59</v>
      </c>
      <c r="D42" s="24">
        <f>394245.17</f>
        <v>394245.17</v>
      </c>
      <c r="E42" s="24">
        <f>50000</f>
        <v>50000</v>
      </c>
      <c r="F42" s="24">
        <f>0</f>
        <v>0</v>
      </c>
      <c r="G42" s="24">
        <f>344245.17</f>
        <v>344245.17</v>
      </c>
      <c r="H42" s="24">
        <f>0</f>
        <v>0</v>
      </c>
      <c r="I42" s="24">
        <f>0</f>
        <v>0</v>
      </c>
      <c r="J42" s="24">
        <f>122844.4</f>
        <v>122844.4</v>
      </c>
      <c r="K42" s="24">
        <f>25555</f>
        <v>25555</v>
      </c>
      <c r="L42" s="24">
        <f>9943391.25</f>
        <v>9943391.25</v>
      </c>
      <c r="M42" s="24">
        <f>1454876.77</f>
        <v>1454876.77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1374547866.36</f>
        <v>1374547866.3599999</v>
      </c>
      <c r="C43" s="23">
        <f>1374547866.36</f>
        <v>1374547866.3599999</v>
      </c>
      <c r="D43" s="23">
        <f>662942207.47</f>
        <v>662942207.47000003</v>
      </c>
      <c r="E43" s="23">
        <f>216693.85</f>
        <v>216693.85</v>
      </c>
      <c r="F43" s="23">
        <f>4417786.78</f>
        <v>4417786.78</v>
      </c>
      <c r="G43" s="23">
        <f>652804838.84</f>
        <v>652804838.84000003</v>
      </c>
      <c r="H43" s="23">
        <f>5502888</f>
        <v>5502888</v>
      </c>
      <c r="I43" s="23">
        <f>0</f>
        <v>0</v>
      </c>
      <c r="J43" s="23">
        <f>52844.07</f>
        <v>52844.07</v>
      </c>
      <c r="K43" s="23">
        <f>204560</f>
        <v>204560</v>
      </c>
      <c r="L43" s="23">
        <f>391592610.3</f>
        <v>391592610.30000001</v>
      </c>
      <c r="M43" s="23">
        <f>281894700.91</f>
        <v>281894700.91000003</v>
      </c>
      <c r="N43" s="23">
        <f>37860943.61</f>
        <v>37860943.609999999</v>
      </c>
      <c r="O43" s="23">
        <f>0</f>
        <v>0</v>
      </c>
      <c r="P43" s="23">
        <f>0</f>
        <v>0</v>
      </c>
      <c r="Q43" s="23">
        <f>0</f>
        <v>0</v>
      </c>
    </row>
    <row r="44" spans="1:17" ht="32.25" customHeight="1" x14ac:dyDescent="0.2">
      <c r="A44" s="18" t="s">
        <v>31</v>
      </c>
      <c r="B44" s="24">
        <f>169297560.57</f>
        <v>169297560.56999999</v>
      </c>
      <c r="C44" s="24">
        <f>169297560.57</f>
        <v>169297560.56999999</v>
      </c>
      <c r="D44" s="24">
        <f>82811174.71</f>
        <v>82811174.709999993</v>
      </c>
      <c r="E44" s="24">
        <f>3050.94</f>
        <v>3050.94</v>
      </c>
      <c r="F44" s="24">
        <f>3350000</f>
        <v>3350000</v>
      </c>
      <c r="G44" s="24">
        <f>74158123.77</f>
        <v>74158123.769999996</v>
      </c>
      <c r="H44" s="24">
        <f>5300000</f>
        <v>5300000</v>
      </c>
      <c r="I44" s="24">
        <f>0</f>
        <v>0</v>
      </c>
      <c r="J44" s="24">
        <f>0</f>
        <v>0</v>
      </c>
      <c r="K44" s="24">
        <f>204560</f>
        <v>204560</v>
      </c>
      <c r="L44" s="24">
        <f>51927619.8</f>
        <v>51927619.799999997</v>
      </c>
      <c r="M44" s="24">
        <f>23704039.01</f>
        <v>23704039.010000002</v>
      </c>
      <c r="N44" s="24">
        <f>10650167.05</f>
        <v>10650167.050000001</v>
      </c>
      <c r="O44" s="24">
        <f>0</f>
        <v>0</v>
      </c>
      <c r="P44" s="24">
        <f>0</f>
        <v>0</v>
      </c>
      <c r="Q44" s="24">
        <f>0</f>
        <v>0</v>
      </c>
    </row>
    <row r="45" spans="1:17" ht="32.25" customHeight="1" x14ac:dyDescent="0.2">
      <c r="A45" s="18" t="s">
        <v>32</v>
      </c>
      <c r="B45" s="24">
        <f>1205250305.79</f>
        <v>1205250305.79</v>
      </c>
      <c r="C45" s="24">
        <f>1205250305.79</f>
        <v>1205250305.79</v>
      </c>
      <c r="D45" s="24">
        <f>580131032.76</f>
        <v>580131032.75999999</v>
      </c>
      <c r="E45" s="24">
        <f>213642.91</f>
        <v>213642.91</v>
      </c>
      <c r="F45" s="24">
        <f>1067786.78</f>
        <v>1067786.78</v>
      </c>
      <c r="G45" s="24">
        <f>578646715.07</f>
        <v>578646715.07000005</v>
      </c>
      <c r="H45" s="24">
        <f>202888</f>
        <v>202888</v>
      </c>
      <c r="I45" s="24">
        <f>0</f>
        <v>0</v>
      </c>
      <c r="J45" s="24">
        <f>52844.07</f>
        <v>52844.07</v>
      </c>
      <c r="K45" s="24">
        <f>0</f>
        <v>0</v>
      </c>
      <c r="L45" s="24">
        <f>339664990.5</f>
        <v>339664990.5</v>
      </c>
      <c r="M45" s="24">
        <f>258190661.9</f>
        <v>258190661.90000001</v>
      </c>
      <c r="N45" s="24">
        <f>27210776.56</f>
        <v>27210776.559999999</v>
      </c>
      <c r="O45" s="24">
        <f>0</f>
        <v>0</v>
      </c>
      <c r="P45" s="24">
        <f>0</f>
        <v>0</v>
      </c>
      <c r="Q45" s="24">
        <f>0</f>
        <v>0</v>
      </c>
    </row>
    <row r="46" spans="1:17" ht="35.25" customHeight="1" x14ac:dyDescent="0.2">
      <c r="A46" s="28" t="s">
        <v>42</v>
      </c>
      <c r="B46" s="23">
        <f>57808860085.48</f>
        <v>57808860085.480003</v>
      </c>
      <c r="C46" s="23">
        <f>57808677233.36</f>
        <v>57808677233.360001</v>
      </c>
      <c r="D46" s="23">
        <f>25979175</f>
        <v>25979175</v>
      </c>
      <c r="E46" s="23">
        <f>989968.79</f>
        <v>989968.79</v>
      </c>
      <c r="F46" s="23">
        <f>52795.75</f>
        <v>52795.75</v>
      </c>
      <c r="G46" s="23">
        <f>24934188.46</f>
        <v>24934188.460000001</v>
      </c>
      <c r="H46" s="23">
        <f>2222</f>
        <v>2222</v>
      </c>
      <c r="I46" s="23">
        <f>8799297.7</f>
        <v>8799297.6999999993</v>
      </c>
      <c r="J46" s="23">
        <f>57757309010.48</f>
        <v>57757309010.480003</v>
      </c>
      <c r="K46" s="23">
        <f>271996.55</f>
        <v>271996.55</v>
      </c>
      <c r="L46" s="23">
        <f>15937213.56</f>
        <v>15937213.560000001</v>
      </c>
      <c r="M46" s="23">
        <f>286006.34</f>
        <v>286006.34000000003</v>
      </c>
      <c r="N46" s="23">
        <f>94533.73</f>
        <v>94533.73</v>
      </c>
      <c r="O46" s="23">
        <f>182852.12</f>
        <v>182852.12</v>
      </c>
      <c r="P46" s="23">
        <f>182852.12</f>
        <v>182852.12</v>
      </c>
      <c r="Q46" s="23">
        <f>0</f>
        <v>0</v>
      </c>
    </row>
    <row r="47" spans="1:17" ht="28.5" customHeight="1" x14ac:dyDescent="0.2">
      <c r="A47" s="18" t="s">
        <v>33</v>
      </c>
      <c r="B47" s="24">
        <f>19499091.3</f>
        <v>19499091.300000001</v>
      </c>
      <c r="C47" s="24">
        <f>19499091.3</f>
        <v>19499091.300000001</v>
      </c>
      <c r="D47" s="24">
        <f>19499091.3</f>
        <v>19499091.300000001</v>
      </c>
      <c r="E47" s="24">
        <f>0</f>
        <v>0</v>
      </c>
      <c r="F47" s="24">
        <f>0</f>
        <v>0</v>
      </c>
      <c r="G47" s="24">
        <f>19499091.3</f>
        <v>19499091.300000001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39094609073.17</f>
        <v>39094609073.169998</v>
      </c>
      <c r="C48" s="24">
        <f>39094609073.17</f>
        <v>39094609073.169998</v>
      </c>
      <c r="D48" s="24">
        <f>5630371.58</f>
        <v>5630371.5800000001</v>
      </c>
      <c r="E48" s="24">
        <f>312574.83</f>
        <v>312574.83</v>
      </c>
      <c r="F48" s="24">
        <f>6744.65</f>
        <v>6744.65</v>
      </c>
      <c r="G48" s="24">
        <f>5308830.1</f>
        <v>5308830.0999999996</v>
      </c>
      <c r="H48" s="24">
        <f>2222</f>
        <v>2222</v>
      </c>
      <c r="I48" s="24">
        <f>8746881.7</f>
        <v>8746881.6999999993</v>
      </c>
      <c r="J48" s="24">
        <f>39065341734.58</f>
        <v>39065341734.580002</v>
      </c>
      <c r="K48" s="24">
        <f>263080.53</f>
        <v>263080.53000000003</v>
      </c>
      <c r="L48" s="24">
        <f>14424346.73</f>
        <v>14424346.73</v>
      </c>
      <c r="M48" s="24">
        <f>108124.32</f>
        <v>108124.32</v>
      </c>
      <c r="N48" s="24">
        <f>94533.73</f>
        <v>94533.73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18694751921.01</f>
        <v>18694751921.009998</v>
      </c>
      <c r="C49" s="24">
        <f>18694569068.89</f>
        <v>18694569068.889999</v>
      </c>
      <c r="D49" s="24">
        <f>849712.12</f>
        <v>849712.12</v>
      </c>
      <c r="E49" s="24">
        <f>677393.96</f>
        <v>677393.96</v>
      </c>
      <c r="F49" s="24">
        <f>46051.1</f>
        <v>46051.1</v>
      </c>
      <c r="G49" s="24">
        <f>126267.06</f>
        <v>126267.06</v>
      </c>
      <c r="H49" s="24">
        <f>0</f>
        <v>0</v>
      </c>
      <c r="I49" s="24">
        <f>52416</f>
        <v>52416</v>
      </c>
      <c r="J49" s="24">
        <f>18691967275.9</f>
        <v>18691967275.900002</v>
      </c>
      <c r="K49" s="24">
        <f>8916.02</f>
        <v>8916.02</v>
      </c>
      <c r="L49" s="24">
        <f>1512866.83</f>
        <v>1512866.83</v>
      </c>
      <c r="M49" s="24">
        <f>177882.02</f>
        <v>177882.02</v>
      </c>
      <c r="N49" s="24">
        <f>0</f>
        <v>0</v>
      </c>
      <c r="O49" s="24">
        <f>182852.12</f>
        <v>182852.12</v>
      </c>
      <c r="P49" s="24">
        <f>182852.12</f>
        <v>182852.12</v>
      </c>
      <c r="Q49" s="24">
        <f>0</f>
        <v>0</v>
      </c>
    </row>
    <row r="50" spans="1:17" ht="35.25" customHeight="1" x14ac:dyDescent="0.2">
      <c r="A50" s="28" t="s">
        <v>43</v>
      </c>
      <c r="B50" s="23">
        <f>28053981558.73</f>
        <v>28053981558.73</v>
      </c>
      <c r="C50" s="23">
        <f>27999050971.55</f>
        <v>27999050971.549999</v>
      </c>
      <c r="D50" s="23">
        <f>495481190.44</f>
        <v>495481190.44</v>
      </c>
      <c r="E50" s="23">
        <f>119046227.03</f>
        <v>119046227.03</v>
      </c>
      <c r="F50" s="23">
        <f>14919099.01</f>
        <v>14919099.01</v>
      </c>
      <c r="G50" s="23">
        <f>359318926.55</f>
        <v>359318926.55000001</v>
      </c>
      <c r="H50" s="23">
        <f>2196937.85</f>
        <v>2196937.85</v>
      </c>
      <c r="I50" s="23">
        <f>665.17</f>
        <v>665.17</v>
      </c>
      <c r="J50" s="23">
        <f>16689099.11</f>
        <v>16689099.109999999</v>
      </c>
      <c r="K50" s="23">
        <f>31677888.57</f>
        <v>31677888.57</v>
      </c>
      <c r="L50" s="23">
        <f>7016535949.8</f>
        <v>7016535949.8000002</v>
      </c>
      <c r="M50" s="23">
        <f>20224005672.05</f>
        <v>20224005672.049999</v>
      </c>
      <c r="N50" s="23">
        <f>214660506.41</f>
        <v>214660506.41</v>
      </c>
      <c r="O50" s="23">
        <f>54930587.18</f>
        <v>54930587.18</v>
      </c>
      <c r="P50" s="23">
        <f>33848563.45</f>
        <v>33848563.450000003</v>
      </c>
      <c r="Q50" s="23">
        <f>21082023.73</f>
        <v>21082023.73</v>
      </c>
    </row>
    <row r="51" spans="1:17" ht="28.5" customHeight="1" x14ac:dyDescent="0.2">
      <c r="A51" s="18" t="s">
        <v>36</v>
      </c>
      <c r="B51" s="24">
        <f>6758313036.48</f>
        <v>6758313036.4799995</v>
      </c>
      <c r="C51" s="24">
        <f>6755391234.25</f>
        <v>6755391234.25</v>
      </c>
      <c r="D51" s="24">
        <f>74886070.08</f>
        <v>74886070.079999998</v>
      </c>
      <c r="E51" s="24">
        <f>2667623.79</f>
        <v>2667623.79</v>
      </c>
      <c r="F51" s="24">
        <f>3095362.13</f>
        <v>3095362.13</v>
      </c>
      <c r="G51" s="24">
        <f>68807890.81</f>
        <v>68807890.810000002</v>
      </c>
      <c r="H51" s="24">
        <f>315193.35</f>
        <v>315193.34999999998</v>
      </c>
      <c r="I51" s="24">
        <f>0</f>
        <v>0</v>
      </c>
      <c r="J51" s="24">
        <f>809097.53</f>
        <v>809097.53</v>
      </c>
      <c r="K51" s="24">
        <f>2246179.61</f>
        <v>2246179.61</v>
      </c>
      <c r="L51" s="24">
        <f>1099866750.17</f>
        <v>1099866750.1700001</v>
      </c>
      <c r="M51" s="24">
        <f>5501261352.76</f>
        <v>5501261352.7600002</v>
      </c>
      <c r="N51" s="24">
        <f>76321784.1</f>
        <v>76321784.099999994</v>
      </c>
      <c r="O51" s="24">
        <f>2921802.23</f>
        <v>2921802.23</v>
      </c>
      <c r="P51" s="24">
        <f>922160.3</f>
        <v>922160.3</v>
      </c>
      <c r="Q51" s="24">
        <f>1999641.93</f>
        <v>1999641.93</v>
      </c>
    </row>
    <row r="52" spans="1:17" ht="28.5" customHeight="1" x14ac:dyDescent="0.2">
      <c r="A52" s="18" t="s">
        <v>37</v>
      </c>
      <c r="B52" s="24">
        <f>21295668522.25</f>
        <v>21295668522.25</v>
      </c>
      <c r="C52" s="24">
        <f>21243659737.3</f>
        <v>21243659737.299999</v>
      </c>
      <c r="D52" s="24">
        <f>420595120.36</f>
        <v>420595120.36000001</v>
      </c>
      <c r="E52" s="24">
        <f>116378603.24</f>
        <v>116378603.23999999</v>
      </c>
      <c r="F52" s="24">
        <f>11823736.88</f>
        <v>11823736.880000001</v>
      </c>
      <c r="G52" s="24">
        <f>290511035.74</f>
        <v>290511035.74000001</v>
      </c>
      <c r="H52" s="24">
        <f>1881744.5</f>
        <v>1881744.5</v>
      </c>
      <c r="I52" s="24">
        <f>665.17</f>
        <v>665.17</v>
      </c>
      <c r="J52" s="24">
        <f>15880001.58</f>
        <v>15880001.58</v>
      </c>
      <c r="K52" s="24">
        <f>29431708.96</f>
        <v>29431708.960000001</v>
      </c>
      <c r="L52" s="24">
        <f>5916669199.63</f>
        <v>5916669199.6300001</v>
      </c>
      <c r="M52" s="24">
        <f>14722744319.29</f>
        <v>14722744319.290001</v>
      </c>
      <c r="N52" s="24">
        <f>138338722.31</f>
        <v>138338722.31</v>
      </c>
      <c r="O52" s="24">
        <f>52008784.95</f>
        <v>52008784.950000003</v>
      </c>
      <c r="P52" s="24">
        <f>32926403.15</f>
        <v>32926403.149999999</v>
      </c>
      <c r="Q52" s="24">
        <f>19082381.8</f>
        <v>19082381.800000001</v>
      </c>
    </row>
    <row r="53" spans="1:17" ht="35.25" customHeight="1" x14ac:dyDescent="0.2">
      <c r="A53" s="28" t="s">
        <v>44</v>
      </c>
      <c r="B53" s="23">
        <f>37273154542.67</f>
        <v>37273154542.669998</v>
      </c>
      <c r="C53" s="23">
        <f>37231674860.46</f>
        <v>37231674860.459999</v>
      </c>
      <c r="D53" s="23">
        <f>2341954819.08</f>
        <v>2341954819.0799999</v>
      </c>
      <c r="E53" s="23">
        <f>795419898.32</f>
        <v>795419898.32000005</v>
      </c>
      <c r="F53" s="23">
        <f>169007018.04</f>
        <v>169007018.03999999</v>
      </c>
      <c r="G53" s="23">
        <f>1332004612.33</f>
        <v>1332004612.3299999</v>
      </c>
      <c r="H53" s="23">
        <f>45523290.39</f>
        <v>45523290.390000001</v>
      </c>
      <c r="I53" s="23">
        <f>4183327.61</f>
        <v>4183327.61</v>
      </c>
      <c r="J53" s="23">
        <f>41065843.63</f>
        <v>41065843.630000003</v>
      </c>
      <c r="K53" s="23">
        <f>125907809.3</f>
        <v>125907809.3</v>
      </c>
      <c r="L53" s="23">
        <f>21800940234.9</f>
        <v>21800940234.900002</v>
      </c>
      <c r="M53" s="23">
        <f>12371205811.5</f>
        <v>12371205811.5</v>
      </c>
      <c r="N53" s="23">
        <f>546417014.44</f>
        <v>546417014.44000006</v>
      </c>
      <c r="O53" s="23">
        <f>41479682.21</f>
        <v>41479682.210000001</v>
      </c>
      <c r="P53" s="23">
        <f>30585290.32</f>
        <v>30585290.32</v>
      </c>
      <c r="Q53" s="23">
        <f>10894391.89</f>
        <v>10894391.890000001</v>
      </c>
    </row>
    <row r="54" spans="1:17" ht="28.5" customHeight="1" x14ac:dyDescent="0.2">
      <c r="A54" s="18" t="s">
        <v>38</v>
      </c>
      <c r="B54" s="24">
        <f>2225694036.09</f>
        <v>2225694036.0900002</v>
      </c>
      <c r="C54" s="24">
        <f>2224278160.67</f>
        <v>2224278160.6700001</v>
      </c>
      <c r="D54" s="24">
        <f>155097555.27</f>
        <v>155097555.27000001</v>
      </c>
      <c r="E54" s="24">
        <f>8047124.44</f>
        <v>8047124.4400000004</v>
      </c>
      <c r="F54" s="24">
        <f>4626042.48</f>
        <v>4626042.4800000004</v>
      </c>
      <c r="G54" s="24">
        <f>136536033.6</f>
        <v>136536033.59999999</v>
      </c>
      <c r="H54" s="24">
        <f>5888354.75</f>
        <v>5888354.75</v>
      </c>
      <c r="I54" s="24">
        <f>14431.94</f>
        <v>14431.94</v>
      </c>
      <c r="J54" s="24">
        <f>1109750.38</f>
        <v>1109750.3799999999</v>
      </c>
      <c r="K54" s="24">
        <f>3494881.6</f>
        <v>3494881.6</v>
      </c>
      <c r="L54" s="24">
        <f>924098623.14</f>
        <v>924098623.13999999</v>
      </c>
      <c r="M54" s="24">
        <f>1114462848.5</f>
        <v>1114462848.5</v>
      </c>
      <c r="N54" s="24">
        <f>26000069.84</f>
        <v>26000069.84</v>
      </c>
      <c r="O54" s="24">
        <f>1415875.42</f>
        <v>1415875.42</v>
      </c>
      <c r="P54" s="24">
        <f>417168.3</f>
        <v>417168.3</v>
      </c>
      <c r="Q54" s="24">
        <f>998707.12</f>
        <v>998707.12</v>
      </c>
    </row>
    <row r="55" spans="1:17" ht="47.25" customHeight="1" x14ac:dyDescent="0.2">
      <c r="A55" s="18" t="s">
        <v>78</v>
      </c>
      <c r="B55" s="24">
        <f>22083689475.43</f>
        <v>22083689475.43</v>
      </c>
      <c r="C55" s="24">
        <f>22055936717.67</f>
        <v>22055936717.669998</v>
      </c>
      <c r="D55" s="24">
        <f>887249835.29</f>
        <v>887249835.28999996</v>
      </c>
      <c r="E55" s="24">
        <f>266875100.22</f>
        <v>266875100.22</v>
      </c>
      <c r="F55" s="24">
        <f>120397457.5</f>
        <v>120397457.5</v>
      </c>
      <c r="G55" s="24">
        <f>473312407.34</f>
        <v>473312407.33999997</v>
      </c>
      <c r="H55" s="24">
        <f>26664870.23</f>
        <v>26664870.23</v>
      </c>
      <c r="I55" s="24">
        <f>4032176.59</f>
        <v>4032176.59</v>
      </c>
      <c r="J55" s="24">
        <f>35957125.74</f>
        <v>35957125.740000002</v>
      </c>
      <c r="K55" s="24">
        <f>92867435.51</f>
        <v>92867435.510000005</v>
      </c>
      <c r="L55" s="24">
        <f>15116382002.62</f>
        <v>15116382002.620001</v>
      </c>
      <c r="M55" s="24">
        <f>5795433216.02</f>
        <v>5795433216.0200005</v>
      </c>
      <c r="N55" s="24">
        <f>124014925.9</f>
        <v>124014925.90000001</v>
      </c>
      <c r="O55" s="24">
        <f>27752757.76</f>
        <v>27752757.760000002</v>
      </c>
      <c r="P55" s="24">
        <f>24871579.25</f>
        <v>24871579.25</v>
      </c>
      <c r="Q55" s="24">
        <f>2881178.51</f>
        <v>2881178.51</v>
      </c>
    </row>
    <row r="56" spans="1:17" ht="35.25" customHeight="1" x14ac:dyDescent="0.2">
      <c r="A56" s="18" t="s">
        <v>39</v>
      </c>
      <c r="B56" s="24">
        <f>12963771031.15</f>
        <v>12963771031.15</v>
      </c>
      <c r="C56" s="24">
        <f>12951459982.12</f>
        <v>12951459982.120001</v>
      </c>
      <c r="D56" s="24">
        <f>1299607428.52</f>
        <v>1299607428.52</v>
      </c>
      <c r="E56" s="24">
        <f>520497673.66</f>
        <v>520497673.66000003</v>
      </c>
      <c r="F56" s="24">
        <f>43983518.06</f>
        <v>43983518.060000002</v>
      </c>
      <c r="G56" s="24">
        <f>722156171.39</f>
        <v>722156171.38999999</v>
      </c>
      <c r="H56" s="24">
        <f>12970065.41</f>
        <v>12970065.41</v>
      </c>
      <c r="I56" s="24">
        <f>136719.08</f>
        <v>136719.07999999999</v>
      </c>
      <c r="J56" s="24">
        <f>3998967.51</f>
        <v>3998967.51</v>
      </c>
      <c r="K56" s="24">
        <f>29545492.19</f>
        <v>29545492.190000001</v>
      </c>
      <c r="L56" s="24">
        <f>5760459609.14</f>
        <v>5760459609.1400003</v>
      </c>
      <c r="M56" s="24">
        <f>5461309746.98</f>
        <v>5461309746.9799995</v>
      </c>
      <c r="N56" s="24">
        <f>396402018.7</f>
        <v>396402018.69999999</v>
      </c>
      <c r="O56" s="24">
        <f>12311049.03</f>
        <v>12311049.029999999</v>
      </c>
      <c r="P56" s="24">
        <f>5296542.77</f>
        <v>5296542.7699999996</v>
      </c>
      <c r="Q56" s="24">
        <f>7014506.26</f>
        <v>7014506.2599999998</v>
      </c>
    </row>
    <row r="67" spans="1:13" ht="75" customHeight="1" x14ac:dyDescent="0.2">
      <c r="A67" s="37" t="str">
        <f>CONCATENATE("Informacja z wykonania budżetów jednostek samorządu terytorialnego za ",$C$94," ",$B$95," roku")</f>
        <v>Informacja z wykonania budżetów jednostek samorządu terytorialnego za I Kwartał 2023 roku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39" t="s">
        <v>2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1" spans="1:13" ht="13.5" customHeight="1" x14ac:dyDescent="0.2">
      <c r="B71" s="65" t="s">
        <v>0</v>
      </c>
      <c r="C71" s="66"/>
      <c r="D71" s="66"/>
      <c r="E71" s="67"/>
      <c r="F71" s="74" t="s">
        <v>68</v>
      </c>
      <c r="G71" s="44" t="s">
        <v>74</v>
      </c>
      <c r="H71" s="45"/>
      <c r="I71" s="45"/>
      <c r="J71" s="45"/>
      <c r="K71" s="45"/>
      <c r="L71" s="46"/>
    </row>
    <row r="72" spans="1:13" ht="13.5" customHeight="1" x14ac:dyDescent="0.2">
      <c r="B72" s="68"/>
      <c r="C72" s="69"/>
      <c r="D72" s="69"/>
      <c r="E72" s="70"/>
      <c r="F72" s="35"/>
      <c r="G72" s="29" t="s">
        <v>69</v>
      </c>
      <c r="H72" s="29" t="s">
        <v>66</v>
      </c>
      <c r="I72" s="29" t="s">
        <v>67</v>
      </c>
      <c r="J72" s="29" t="s">
        <v>70</v>
      </c>
      <c r="K72" s="29" t="s">
        <v>71</v>
      </c>
      <c r="L72" s="47" t="s">
        <v>72</v>
      </c>
    </row>
    <row r="73" spans="1:13" ht="13.5" customHeight="1" x14ac:dyDescent="0.2">
      <c r="B73" s="68"/>
      <c r="C73" s="69"/>
      <c r="D73" s="69"/>
      <c r="E73" s="70"/>
      <c r="F73" s="35"/>
      <c r="G73" s="29"/>
      <c r="H73" s="29"/>
      <c r="I73" s="29"/>
      <c r="J73" s="29"/>
      <c r="K73" s="29"/>
      <c r="L73" s="47"/>
    </row>
    <row r="74" spans="1:13" ht="11.25" customHeight="1" x14ac:dyDescent="0.2">
      <c r="B74" s="68"/>
      <c r="C74" s="69"/>
      <c r="D74" s="69"/>
      <c r="E74" s="70"/>
      <c r="F74" s="35"/>
      <c r="G74" s="29"/>
      <c r="H74" s="29"/>
      <c r="I74" s="29"/>
      <c r="J74" s="29"/>
      <c r="K74" s="29"/>
      <c r="L74" s="47"/>
    </row>
    <row r="75" spans="1:13" ht="20.25" customHeight="1" x14ac:dyDescent="0.2">
      <c r="B75" s="71"/>
      <c r="C75" s="72"/>
      <c r="D75" s="72"/>
      <c r="E75" s="73"/>
      <c r="F75" s="36"/>
      <c r="G75" s="29"/>
      <c r="H75" s="29"/>
      <c r="I75" s="29"/>
      <c r="J75" s="29"/>
      <c r="K75" s="29"/>
      <c r="L75" s="47"/>
    </row>
    <row r="76" spans="1:13" ht="13.5" customHeight="1" x14ac:dyDescent="0.2">
      <c r="B76" s="29">
        <v>1</v>
      </c>
      <c r="C76" s="29"/>
      <c r="D76" s="29"/>
      <c r="E76" s="29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4532241841.72</f>
        <v>4532241841.7200003</v>
      </c>
      <c r="G77" s="22">
        <f>1085627979.61</f>
        <v>1085627979.6099999</v>
      </c>
      <c r="H77" s="22">
        <f>57297542.49</f>
        <v>57297542.490000002</v>
      </c>
      <c r="I77" s="22">
        <f>258822257.67</f>
        <v>258822257.66999999</v>
      </c>
      <c r="J77" s="22">
        <f>763199881.26</f>
        <v>763199881.25999999</v>
      </c>
      <c r="K77" s="22">
        <f>6308298.19</f>
        <v>6308298.1900000004</v>
      </c>
      <c r="L77" s="22">
        <f>3446613862.11</f>
        <v>3446613862.1100001</v>
      </c>
    </row>
    <row r="78" spans="1:13" ht="33.75" customHeight="1" x14ac:dyDescent="0.2">
      <c r="B78" s="58" t="s">
        <v>54</v>
      </c>
      <c r="C78" s="59"/>
      <c r="D78" s="59"/>
      <c r="E78" s="60"/>
      <c r="F78" s="25">
        <f>6106894.41</f>
        <v>6106894.4100000001</v>
      </c>
      <c r="G78" s="25">
        <f>821594</f>
        <v>821594</v>
      </c>
      <c r="H78" s="25">
        <f>0</f>
        <v>0</v>
      </c>
      <c r="I78" s="25">
        <f>0</f>
        <v>0</v>
      </c>
      <c r="J78" s="25">
        <f>821594</f>
        <v>821594</v>
      </c>
      <c r="K78" s="25">
        <f>0</f>
        <v>0</v>
      </c>
      <c r="L78" s="25">
        <f>5285300.41</f>
        <v>5285300.41</v>
      </c>
    </row>
    <row r="79" spans="1:13" ht="33.75" customHeight="1" x14ac:dyDescent="0.2">
      <c r="B79" s="58" t="s">
        <v>55</v>
      </c>
      <c r="C79" s="59"/>
      <c r="D79" s="59"/>
      <c r="E79" s="60"/>
      <c r="F79" s="25">
        <f>84629005.1</f>
        <v>84629005.099999994</v>
      </c>
      <c r="G79" s="25">
        <f>30870798.46</f>
        <v>30870798.460000001</v>
      </c>
      <c r="H79" s="25">
        <f>0</f>
        <v>0</v>
      </c>
      <c r="I79" s="25">
        <f>0</f>
        <v>0</v>
      </c>
      <c r="J79" s="25">
        <f>30761212.42</f>
        <v>30761212.420000002</v>
      </c>
      <c r="K79" s="25">
        <f>109586.04</f>
        <v>109586.04</v>
      </c>
      <c r="L79" s="25">
        <f>53758206.64</f>
        <v>53758206.640000001</v>
      </c>
    </row>
    <row r="80" spans="1:13" ht="22.5" customHeight="1" x14ac:dyDescent="0.2">
      <c r="B80" s="58" t="s">
        <v>56</v>
      </c>
      <c r="C80" s="59"/>
      <c r="D80" s="59"/>
      <c r="E80" s="60"/>
      <c r="F80" s="25">
        <f>90522150.84</f>
        <v>90522150.840000004</v>
      </c>
      <c r="G80" s="25">
        <f>29220465.96</f>
        <v>29220465.960000001</v>
      </c>
      <c r="H80" s="25">
        <f>0</f>
        <v>0</v>
      </c>
      <c r="I80" s="25">
        <f>0</f>
        <v>0</v>
      </c>
      <c r="J80" s="25">
        <f>29220465.96</f>
        <v>29220465.960000001</v>
      </c>
      <c r="K80" s="25">
        <f>0</f>
        <v>0</v>
      </c>
      <c r="L80" s="25">
        <f>61301684.88</f>
        <v>61301684.880000003</v>
      </c>
    </row>
    <row r="81" spans="1:13" ht="33.75" customHeight="1" x14ac:dyDescent="0.2">
      <c r="B81" s="58" t="s">
        <v>57</v>
      </c>
      <c r="C81" s="59"/>
      <c r="D81" s="59"/>
      <c r="E81" s="60"/>
      <c r="F81" s="25">
        <f>17493721.08</f>
        <v>17493721.079999998</v>
      </c>
      <c r="G81" s="25">
        <f>11317587.59</f>
        <v>11317587.59</v>
      </c>
      <c r="H81" s="25">
        <f>0</f>
        <v>0</v>
      </c>
      <c r="I81" s="25">
        <f>0</f>
        <v>0</v>
      </c>
      <c r="J81" s="25">
        <f>11317587.59</f>
        <v>11317587.59</v>
      </c>
      <c r="K81" s="25">
        <f>0</f>
        <v>0</v>
      </c>
      <c r="L81" s="25">
        <f>6176133.49</f>
        <v>6176133.4900000002</v>
      </c>
    </row>
    <row r="82" spans="1:13" ht="33.75" customHeight="1" x14ac:dyDescent="0.2">
      <c r="B82" s="58" t="s">
        <v>58</v>
      </c>
      <c r="C82" s="59"/>
      <c r="D82" s="59"/>
      <c r="E82" s="60"/>
      <c r="F82" s="25">
        <f>6825041.9</f>
        <v>6825041.9000000004</v>
      </c>
      <c r="G82" s="25">
        <f>3772712.42</f>
        <v>3772712.42</v>
      </c>
      <c r="H82" s="25">
        <f>0</f>
        <v>0</v>
      </c>
      <c r="I82" s="25">
        <f>0</f>
        <v>0</v>
      </c>
      <c r="J82" s="25">
        <f>3772712.42</f>
        <v>3772712.42</v>
      </c>
      <c r="K82" s="25">
        <f>0</f>
        <v>0</v>
      </c>
      <c r="L82" s="25">
        <f>3052329.48</f>
        <v>3052329.48</v>
      </c>
    </row>
    <row r="83" spans="1:13" ht="33" customHeight="1" x14ac:dyDescent="0.2">
      <c r="B83" s="55" t="s">
        <v>59</v>
      </c>
      <c r="C83" s="56"/>
      <c r="D83" s="56"/>
      <c r="E83" s="57"/>
      <c r="F83" s="22">
        <f>1666714.42</f>
        <v>1666714.42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1666714.42</f>
        <v>1666714.42</v>
      </c>
    </row>
    <row r="86" spans="1:13" ht="75" customHeight="1" x14ac:dyDescent="0.2">
      <c r="A86" s="37" t="str">
        <f>CONCATENATE("Informacja z wykonania budżetów jednostek samorządu terytorialnego za ",$C$94," ",$B$95," roku")</f>
        <v>Informacja z wykonania budżetów jednostek samorządu terytorialnego za I Kwartał 2023 roku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</row>
    <row r="87" spans="1:13" ht="13.5" customHeight="1" x14ac:dyDescent="0.2">
      <c r="B87" s="3"/>
    </row>
    <row r="88" spans="1:13" ht="13.5" customHeight="1" x14ac:dyDescent="0.2">
      <c r="B88" s="4"/>
      <c r="C88" s="52"/>
      <c r="D88" s="53"/>
      <c r="E88" s="53"/>
      <c r="F88" s="54"/>
      <c r="G88" s="52" t="s">
        <v>3</v>
      </c>
      <c r="H88" s="54"/>
      <c r="I88" s="52" t="s">
        <v>4</v>
      </c>
      <c r="J88" s="54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48">
        <f>2253</f>
        <v>2253</v>
      </c>
      <c r="H89" s="49"/>
      <c r="I89" s="50">
        <f>12614815197.71</f>
        <v>12614815197.709999</v>
      </c>
      <c r="J89" s="51"/>
      <c r="K89" s="6"/>
    </row>
    <row r="90" spans="1:13" ht="13.5" customHeight="1" x14ac:dyDescent="0.2">
      <c r="B90" s="5"/>
      <c r="C90" s="58" t="s">
        <v>6</v>
      </c>
      <c r="D90" s="59"/>
      <c r="E90" s="59"/>
      <c r="F90" s="60"/>
      <c r="G90" s="61">
        <f>554</f>
        <v>554</v>
      </c>
      <c r="H90" s="62"/>
      <c r="I90" s="63">
        <f>-731790708.780001</f>
        <v>-731790708.78000104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48">
        <f>0</f>
        <v>0</v>
      </c>
      <c r="H91" s="49"/>
      <c r="I91" s="50">
        <f>0</f>
        <v>0</v>
      </c>
      <c r="J91" s="51"/>
      <c r="K91" s="6"/>
    </row>
    <row r="94" spans="1:13" ht="13.5" customHeight="1" x14ac:dyDescent="0.2">
      <c r="A94" s="7" t="s">
        <v>8</v>
      </c>
      <c r="B94" s="7">
        <f>1</f>
        <v>1</v>
      </c>
      <c r="C94" s="7" t="str">
        <f>IF(B94=1,"I Kwartał",IF(B94=2,"II Kwartały",IF(B94=3,"III Kwartały",IF(B94=4,"IV Kwartały","-"))))</f>
        <v>I Kwartał</v>
      </c>
    </row>
    <row r="95" spans="1:13" ht="13.5" customHeight="1" x14ac:dyDescent="0.2">
      <c r="A95" s="7" t="s">
        <v>9</v>
      </c>
      <c r="B95" s="7">
        <f>2023</f>
        <v>2023</v>
      </c>
      <c r="C95" s="8"/>
    </row>
    <row r="96" spans="1:13" ht="13.5" customHeight="1" x14ac:dyDescent="0.2">
      <c r="A96" s="7" t="s">
        <v>10</v>
      </c>
      <c r="B96" s="9" t="str">
        <f>"May 26 2023 12:00AM"</f>
        <v>May 26 2023 12:00AM</v>
      </c>
      <c r="C96" s="8"/>
    </row>
  </sheetData>
  <mergeCells count="75"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2023-06-01T13:56:40Z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UxC4dwLulzfINJ8nQH+xvX5LNGipWa4BRSZhPgxsCvkoSyW6oxOIkannjhetQWewJxpKYDbHrFlkYqkjpcojww==</vt:lpwstr>
  </property>
  <property fmtid="{D5CDD505-2E9C-101B-9397-08002B2CF9AE}" pid="4" name="MFClassificationDate">
    <vt:lpwstr>2023-06-01T15:41:56.1440600+02:00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GRN-4fa3a5c6-5cd0-4c66-850b-fbb9ee4e108c</vt:lpwstr>
  </property>
  <property fmtid="{D5CDD505-2E9C-101B-9397-08002B2CF9AE}" pid="7" name="MFHash">
    <vt:lpwstr>fALQfiOAoLZp58nm+WYybWEXbePSD5cSjTMfNAoLBPM=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