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PP_RÓŻNE\Kalkulatory\"/>
    </mc:Choice>
  </mc:AlternateContent>
  <workbookProtection workbookPassword="C665" lockStructure="1"/>
  <bookViews>
    <workbookView xWindow="-120" yWindow="-120" windowWidth="27855" windowHeight="16440" tabRatio="598" activeTab="3"/>
  </bookViews>
  <sheets>
    <sheet name="Instrukcja" sheetId="18" r:id="rId1"/>
    <sheet name="Dane finansowe" sheetId="14" r:id="rId2"/>
    <sheet name="Wyniki" sheetId="17" r:id="rId3"/>
    <sheet name="WACC" sheetId="19" r:id="rId4"/>
  </sheets>
  <definedNames>
    <definedName name="_xlnm._FilterDatabase" localSheetId="1" hidden="1">'Dane finansowe'!$B$5:$D$5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9" l="1"/>
  <c r="D17" i="19" l="1"/>
  <c r="D8" i="19"/>
  <c r="D7" i="19"/>
  <c r="D14" i="19" l="1"/>
  <c r="D18" i="19" s="1"/>
  <c r="E58" i="14"/>
  <c r="E57" i="17"/>
  <c r="F67" i="14" l="1"/>
  <c r="G67" i="14"/>
  <c r="E67" i="14"/>
  <c r="D40" i="14"/>
  <c r="D41" i="14"/>
  <c r="F63" i="17" l="1"/>
  <c r="F157" i="17" s="1"/>
  <c r="G63" i="17"/>
  <c r="E63" i="17"/>
  <c r="E157" i="17" s="1"/>
  <c r="D184" i="17"/>
  <c r="D183" i="17"/>
  <c r="D182" i="17"/>
  <c r="D181" i="17"/>
  <c r="D180" i="17"/>
  <c r="G22" i="14"/>
  <c r="F22" i="14" l="1"/>
  <c r="E22" i="14" s="1"/>
  <c r="E71" i="14"/>
  <c r="D261" i="17" l="1"/>
  <c r="D272" i="17" s="1"/>
  <c r="F57" i="17" l="1"/>
  <c r="G57" i="17"/>
  <c r="E76" i="17" s="1"/>
  <c r="D57" i="17"/>
  <c r="D68" i="14" l="1"/>
  <c r="D69" i="14"/>
  <c r="D70" i="14"/>
  <c r="D71" i="14"/>
  <c r="D72" i="14"/>
  <c r="D73" i="14"/>
  <c r="D74" i="14"/>
  <c r="D75" i="14"/>
  <c r="D76" i="14"/>
  <c r="D67" i="14"/>
  <c r="F274" i="17"/>
  <c r="G274" i="17" s="1"/>
  <c r="F58" i="14"/>
  <c r="G58" i="14"/>
  <c r="E184" i="17"/>
  <c r="E64" i="17" s="1"/>
  <c r="D44" i="17"/>
  <c r="D43" i="17"/>
  <c r="B44" i="17"/>
  <c r="B43" i="17"/>
  <c r="G184" i="17" l="1"/>
  <c r="G71" i="14"/>
  <c r="F184" i="17"/>
  <c r="F64" i="17" s="1"/>
  <c r="F71" i="14"/>
  <c r="G272" i="17"/>
  <c r="G273" i="17" s="1"/>
  <c r="G95" i="17" s="1"/>
  <c r="D64" i="14"/>
  <c r="D63" i="14"/>
  <c r="D62" i="14"/>
  <c r="D61" i="14"/>
  <c r="D60" i="14"/>
  <c r="D59" i="14"/>
  <c r="D58" i="14"/>
  <c r="D57" i="14"/>
  <c r="D56" i="14"/>
  <c r="D55" i="14"/>
  <c r="D54" i="14"/>
  <c r="D51" i="14"/>
  <c r="D50" i="14"/>
  <c r="D49" i="14"/>
  <c r="D48" i="14"/>
  <c r="D47" i="14"/>
  <c r="D46" i="14"/>
  <c r="D45" i="14"/>
  <c r="D42" i="14"/>
  <c r="D39" i="14"/>
  <c r="D38" i="14"/>
  <c r="D37" i="14"/>
  <c r="D36" i="14"/>
  <c r="D35" i="14"/>
  <c r="D34" i="14"/>
  <c r="D33" i="14"/>
  <c r="D24" i="14"/>
  <c r="D25" i="14"/>
  <c r="D26" i="14"/>
  <c r="D27" i="14"/>
  <c r="D28" i="14"/>
  <c r="D29" i="14"/>
  <c r="D30" i="14"/>
  <c r="D23" i="14"/>
  <c r="E69" i="14"/>
  <c r="F272" i="17" l="1"/>
  <c r="F273" i="17" s="1"/>
  <c r="G275" i="17"/>
  <c r="F56" i="17"/>
  <c r="F275" i="17" l="1"/>
  <c r="E272" i="17"/>
  <c r="E273" i="17" s="1"/>
  <c r="F95" i="17" l="1"/>
  <c r="E275" i="17"/>
  <c r="G66" i="14"/>
  <c r="F66" i="14" s="1"/>
  <c r="E66" i="14" s="1"/>
  <c r="G53" i="14"/>
  <c r="F53" i="14" s="1"/>
  <c r="E53" i="14" s="1"/>
  <c r="G44" i="14"/>
  <c r="F44" i="14" s="1"/>
  <c r="G32" i="14"/>
  <c r="F32" i="14" s="1"/>
  <c r="E32" i="14" s="1"/>
  <c r="E95" i="17" l="1"/>
  <c r="E44" i="14"/>
  <c r="E56" i="17"/>
  <c r="G267" i="17" l="1"/>
  <c r="F267" i="17"/>
  <c r="E267" i="17"/>
  <c r="G266" i="17"/>
  <c r="F266" i="17"/>
  <c r="E266" i="17"/>
  <c r="G264" i="17"/>
  <c r="F264" i="17"/>
  <c r="E264" i="17"/>
  <c r="G263" i="17"/>
  <c r="F263" i="17"/>
  <c r="E263" i="17"/>
  <c r="G262" i="17"/>
  <c r="F262" i="17"/>
  <c r="E262" i="17"/>
  <c r="D179" i="17"/>
  <c r="C261" i="17"/>
  <c r="B261" i="17"/>
  <c r="C259" i="17"/>
  <c r="C245" i="17"/>
  <c r="C230" i="17"/>
  <c r="L220" i="17"/>
  <c r="K220" i="17"/>
  <c r="J220" i="17"/>
  <c r="L219" i="17"/>
  <c r="K219" i="17"/>
  <c r="J219" i="17"/>
  <c r="B217" i="17"/>
  <c r="I217" i="17" s="1"/>
  <c r="C216" i="17"/>
  <c r="L206" i="17"/>
  <c r="K206" i="17"/>
  <c r="J206" i="17"/>
  <c r="L205" i="17"/>
  <c r="K205" i="17"/>
  <c r="J205" i="17"/>
  <c r="B203" i="17"/>
  <c r="I203" i="17" s="1"/>
  <c r="C202" i="17"/>
  <c r="L192" i="17"/>
  <c r="K192" i="17"/>
  <c r="J192" i="17"/>
  <c r="L191" i="17"/>
  <c r="K191" i="17"/>
  <c r="J191" i="17"/>
  <c r="B189" i="17"/>
  <c r="I189" i="17" s="1"/>
  <c r="C188" i="17"/>
  <c r="G183" i="17"/>
  <c r="F183" i="17"/>
  <c r="E183" i="17"/>
  <c r="G182" i="17"/>
  <c r="F182" i="17"/>
  <c r="E182" i="17"/>
  <c r="G181" i="17"/>
  <c r="F181" i="17"/>
  <c r="E181" i="17"/>
  <c r="G180" i="17"/>
  <c r="G265" i="17" s="1"/>
  <c r="F180" i="17"/>
  <c r="F265" i="17" s="1"/>
  <c r="E180" i="17"/>
  <c r="E265" i="17" s="1"/>
  <c r="C177" i="17"/>
  <c r="F167" i="17"/>
  <c r="G167" i="17" s="1"/>
  <c r="F166" i="17"/>
  <c r="G166" i="17" s="1"/>
  <c r="C162" i="17"/>
  <c r="C148" i="17"/>
  <c r="F138" i="17"/>
  <c r="G138" i="17" s="1"/>
  <c r="F137" i="17"/>
  <c r="G137" i="17" s="1"/>
  <c r="C133" i="17"/>
  <c r="F127" i="17"/>
  <c r="G127" i="17" s="1"/>
  <c r="F126" i="17"/>
  <c r="G126" i="17" s="1"/>
  <c r="F124" i="17"/>
  <c r="G124" i="17" s="1"/>
  <c r="F123" i="17"/>
  <c r="G123" i="17" s="1"/>
  <c r="C119" i="17"/>
  <c r="C104" i="17"/>
  <c r="C90" i="17"/>
  <c r="B260" i="17"/>
  <c r="B87" i="17"/>
  <c r="C86" i="17"/>
  <c r="B86" i="17"/>
  <c r="G69" i="17"/>
  <c r="F69" i="17"/>
  <c r="E69" i="17"/>
  <c r="E240" i="17" s="1"/>
  <c r="E241" i="17" s="1"/>
  <c r="B231" i="17"/>
  <c r="B85" i="17"/>
  <c r="G68" i="17"/>
  <c r="F68" i="17"/>
  <c r="E68" i="17"/>
  <c r="G67" i="17"/>
  <c r="F67" i="17"/>
  <c r="E67" i="17"/>
  <c r="G66" i="17"/>
  <c r="F66" i="17"/>
  <c r="E66" i="17"/>
  <c r="C84" i="17"/>
  <c r="B84" i="17"/>
  <c r="C83" i="17"/>
  <c r="B83" i="17"/>
  <c r="C82" i="17"/>
  <c r="B82" i="17"/>
  <c r="G62" i="17"/>
  <c r="F62" i="17"/>
  <c r="E62" i="17"/>
  <c r="E143" i="17" s="1"/>
  <c r="E144" i="17" s="1"/>
  <c r="B134" i="17"/>
  <c r="B81" i="17"/>
  <c r="G61" i="17"/>
  <c r="F61" i="17"/>
  <c r="E61" i="17"/>
  <c r="B120" i="17"/>
  <c r="B80" i="17"/>
  <c r="G60" i="17"/>
  <c r="F60" i="17"/>
  <c r="E60" i="17"/>
  <c r="E114" i="17" s="1"/>
  <c r="E115" i="17" s="1"/>
  <c r="C79" i="17"/>
  <c r="B79" i="17"/>
  <c r="G59" i="17"/>
  <c r="F59" i="17"/>
  <c r="E59" i="17"/>
  <c r="C78" i="17"/>
  <c r="B78" i="17"/>
  <c r="G58" i="17"/>
  <c r="F58" i="17"/>
  <c r="E58" i="17"/>
  <c r="C77" i="17"/>
  <c r="B77" i="17"/>
  <c r="C76" i="17"/>
  <c r="B76" i="17"/>
  <c r="G56" i="17"/>
  <c r="G135" i="17" s="1"/>
  <c r="G268" i="17" l="1"/>
  <c r="G71" i="17" s="1"/>
  <c r="E268" i="17"/>
  <c r="E71" i="17" s="1"/>
  <c r="F268" i="17"/>
  <c r="F71" i="17" s="1"/>
  <c r="E77" i="17"/>
  <c r="I8" i="17" s="1"/>
  <c r="I4" i="17"/>
  <c r="E99" i="17"/>
  <c r="E100" i="17" s="1"/>
  <c r="E70" i="17"/>
  <c r="J193" i="17"/>
  <c r="J207" i="17"/>
  <c r="J221" i="17"/>
  <c r="L193" i="17"/>
  <c r="K193" i="17"/>
  <c r="L207" i="17"/>
  <c r="K221" i="17"/>
  <c r="K207" i="17"/>
  <c r="L221" i="17"/>
  <c r="G70" i="17"/>
  <c r="C80" i="17"/>
  <c r="B91" i="17"/>
  <c r="G92" i="17"/>
  <c r="G99" i="17"/>
  <c r="G100" i="17" s="1"/>
  <c r="E128" i="17"/>
  <c r="E129" i="17" s="1"/>
  <c r="F143" i="17"/>
  <c r="F144" i="17" s="1"/>
  <c r="B149" i="17"/>
  <c r="G150" i="17"/>
  <c r="G157" i="17"/>
  <c r="G158" i="17" s="1"/>
  <c r="G190" i="17"/>
  <c r="L190" i="17"/>
  <c r="G197" i="17"/>
  <c r="G198" i="17" s="1"/>
  <c r="G204" i="17"/>
  <c r="L204" i="17"/>
  <c r="G211" i="17"/>
  <c r="G212" i="17" s="1"/>
  <c r="G218" i="17"/>
  <c r="L218" i="17"/>
  <c r="G225" i="17"/>
  <c r="G226" i="17" s="1"/>
  <c r="G261" i="17"/>
  <c r="F70" i="17"/>
  <c r="C81" i="17"/>
  <c r="C85" i="17"/>
  <c r="F99" i="17"/>
  <c r="F100" i="17" s="1"/>
  <c r="B105" i="17"/>
  <c r="G106" i="17"/>
  <c r="G114" i="17"/>
  <c r="G115" i="17" s="1"/>
  <c r="F158" i="17"/>
  <c r="B163" i="17"/>
  <c r="G164" i="17"/>
  <c r="G179" i="17"/>
  <c r="F197" i="17"/>
  <c r="F198" i="17" s="1"/>
  <c r="F211" i="17"/>
  <c r="F212" i="17" s="1"/>
  <c r="F225" i="17"/>
  <c r="F226" i="17" s="1"/>
  <c r="G232" i="17"/>
  <c r="G240" i="17"/>
  <c r="G241" i="17" s="1"/>
  <c r="F114" i="17"/>
  <c r="F115" i="17" s="1"/>
  <c r="G121" i="17"/>
  <c r="G128" i="17"/>
  <c r="G129" i="17" s="1"/>
  <c r="E158" i="17"/>
  <c r="B178" i="17"/>
  <c r="E197" i="17"/>
  <c r="E198" i="17" s="1"/>
  <c r="E211" i="17"/>
  <c r="E212" i="17" s="1"/>
  <c r="E225" i="17"/>
  <c r="E226" i="17" s="1"/>
  <c r="F240" i="17"/>
  <c r="F241" i="17" s="1"/>
  <c r="B246" i="17"/>
  <c r="G247" i="17"/>
  <c r="C87" i="17"/>
  <c r="F128" i="17"/>
  <c r="F129" i="17" s="1"/>
  <c r="G143" i="17"/>
  <c r="G144" i="17" s="1"/>
  <c r="E145" i="17" l="1"/>
  <c r="G254" i="17"/>
  <c r="G255" i="17" s="1"/>
  <c r="E101" i="17"/>
  <c r="E78" i="17" s="1"/>
  <c r="I12" i="17" s="1"/>
  <c r="E116" i="17"/>
  <c r="E130" i="17"/>
  <c r="E159" i="17"/>
  <c r="E82" i="17" s="1"/>
  <c r="E242" i="17"/>
  <c r="E227" i="17"/>
  <c r="E213" i="17"/>
  <c r="E199" i="17"/>
  <c r="E86" i="17"/>
  <c r="I36" i="17" s="1"/>
  <c r="F254" i="17"/>
  <c r="F255" i="17" s="1"/>
  <c r="F247" i="17"/>
  <c r="F121" i="17"/>
  <c r="F232" i="17"/>
  <c r="F179" i="17"/>
  <c r="F164" i="17"/>
  <c r="F106" i="17"/>
  <c r="F261" i="17"/>
  <c r="K218" i="17"/>
  <c r="F218" i="17"/>
  <c r="K204" i="17"/>
  <c r="F204" i="17"/>
  <c r="K190" i="17"/>
  <c r="F190" i="17"/>
  <c r="F150" i="17"/>
  <c r="F92" i="17"/>
  <c r="F135" i="17"/>
  <c r="E254" i="17"/>
  <c r="E255" i="17" s="1"/>
  <c r="E256" i="17" l="1"/>
  <c r="E87" i="17" s="1"/>
  <c r="I38" i="17" s="1"/>
  <c r="E84" i="17"/>
  <c r="I30" i="17" s="1"/>
  <c r="E85" i="17"/>
  <c r="I33" i="17" s="1"/>
  <c r="I25" i="17"/>
  <c r="E79" i="17"/>
  <c r="I16" i="17" s="1"/>
  <c r="E81" i="17"/>
  <c r="I22" i="17" s="1"/>
  <c r="E80" i="17"/>
  <c r="I19" i="17" s="1"/>
  <c r="E232" i="17"/>
  <c r="E179" i="17"/>
  <c r="E164" i="17"/>
  <c r="E106" i="17"/>
  <c r="E261" i="17"/>
  <c r="J218" i="17"/>
  <c r="E218" i="17"/>
  <c r="J204" i="17"/>
  <c r="E204" i="17"/>
  <c r="J190" i="17"/>
  <c r="E190" i="17"/>
  <c r="E150" i="17"/>
  <c r="E92" i="17"/>
  <c r="E135" i="17"/>
  <c r="E247" i="17"/>
  <c r="E121" i="17"/>
  <c r="F185" i="17" l="1"/>
  <c r="E185" i="17"/>
  <c r="E172" i="17" s="1"/>
  <c r="E173" i="17" s="1"/>
  <c r="G185" i="17"/>
  <c r="G64" i="17" s="1"/>
  <c r="G74" i="14" l="1"/>
  <c r="F74" i="14"/>
  <c r="F172" i="17" l="1"/>
  <c r="F173" i="17" s="1"/>
  <c r="G172" i="17"/>
  <c r="G173" i="17" s="1"/>
  <c r="E74" i="14"/>
  <c r="F76" i="14"/>
  <c r="G76" i="14"/>
  <c r="F69" i="14"/>
  <c r="G69" i="14"/>
  <c r="E68" i="14"/>
  <c r="F68" i="14"/>
  <c r="G68" i="14"/>
  <c r="E70" i="14"/>
  <c r="F70" i="14"/>
  <c r="G70" i="14"/>
  <c r="E72" i="14"/>
  <c r="F72" i="14"/>
  <c r="G72" i="14"/>
  <c r="E73" i="14"/>
  <c r="F73" i="14"/>
  <c r="G73" i="14"/>
  <c r="E75" i="14"/>
  <c r="F75" i="14"/>
  <c r="G75" i="14"/>
  <c r="E174" i="17" l="1"/>
  <c r="E83" i="17" s="1"/>
  <c r="I27" i="17" s="1"/>
  <c r="I41" i="17" s="1"/>
  <c r="D11" i="14" l="1"/>
  <c r="E11" i="14"/>
  <c r="H42" i="17"/>
  <c r="F11" i="14" s="1"/>
  <c r="D10" i="19" l="1"/>
  <c r="D11" i="19" s="1"/>
  <c r="D12" i="19" s="1"/>
  <c r="D19" i="19" s="1"/>
  <c r="D20" i="19" s="1"/>
  <c r="B11" i="14"/>
</calcChain>
</file>

<file path=xl/sharedStrings.xml><?xml version="1.0" encoding="utf-8"?>
<sst xmlns="http://schemas.openxmlformats.org/spreadsheetml/2006/main" count="775" uniqueCount="303">
  <si>
    <t>TAK/NIE</t>
  </si>
  <si>
    <t>Jedn./Lata</t>
  </si>
  <si>
    <t>pkt.</t>
  </si>
  <si>
    <t>Przedział wartości wskaźnika</t>
  </si>
  <si>
    <t xml:space="preserve"> - wartość minimalna</t>
  </si>
  <si>
    <t>liczba</t>
  </si>
  <si>
    <t xml:space="preserve"> - wartość maksymalna</t>
  </si>
  <si>
    <t>Przedział punktowy</t>
  </si>
  <si>
    <t>Wartość wskaźnika</t>
  </si>
  <si>
    <t xml:space="preserve"> - pomiędzy 1,0 - 2,0 (liniowo)</t>
  </si>
  <si>
    <t>* W przypadku braku wydatków finansowych wskaźnik WPOD przyjmuje wartość 2,0</t>
  </si>
  <si>
    <t>Ilość punktów</t>
  </si>
  <si>
    <t>Wartość graniczna funkcji wynosi 0.</t>
  </si>
  <si>
    <t>W &lt; 0 – przedsiębiorstwo bardzo słabe, duże zagrożenie upadłością,</t>
  </si>
  <si>
    <t>0 &lt; W &lt; 1 – przedsiębiorstwo słabe, obarczone ryzykiem upadłości,</t>
  </si>
  <si>
    <t>1 &lt; W &lt; 2 – przedsiębiorstwo dobre,</t>
  </si>
  <si>
    <t xml:space="preserve">      W &gt; 2 – przedsiębiorstwo bardzo dobre.</t>
  </si>
  <si>
    <r>
      <t>X</t>
    </r>
    <r>
      <rPr>
        <b/>
        <vertAlign val="subscript"/>
        <sz val="10"/>
        <rFont val="Times New Roman"/>
        <family val="1"/>
        <charset val="238"/>
      </rPr>
      <t>1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(zysk netto+amortyzacja)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</si>
  <si>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aktywa ogółem / zobowiązania ogółem</t>
    </r>
  </si>
  <si>
    <r>
      <t>X</t>
    </r>
    <r>
      <rPr>
        <b/>
        <vertAlign val="subscript"/>
        <sz val="10"/>
        <rFont val="Times New Roman"/>
        <family val="1"/>
        <charset val="238"/>
      </rPr>
      <t xml:space="preserve">3 </t>
    </r>
    <r>
      <rPr>
        <b/>
        <sz val="10"/>
        <rFont val="Times New Roman"/>
        <family val="1"/>
        <charset val="238"/>
      </rPr>
      <t xml:space="preserve">= </t>
    </r>
    <r>
      <rPr>
        <sz val="10"/>
        <rFont val="Times New Roman"/>
        <family val="1"/>
        <charset val="238"/>
      </rPr>
      <t>EBIT / aktywa ogółem</t>
    </r>
  </si>
  <si>
    <r>
      <t>X</t>
    </r>
    <r>
      <rPr>
        <b/>
        <vertAlign val="subscript"/>
        <sz val="10"/>
        <rFont val="Times New Roman"/>
        <family val="1"/>
        <charset val="238"/>
      </rPr>
      <t>4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EBIT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</si>
  <si>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5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zapasy / przychody ze sprzedaży ogółem</t>
    </r>
  </si>
  <si>
    <r>
      <t>X</t>
    </r>
    <r>
      <rPr>
        <b/>
        <vertAlign val="subscript"/>
        <sz val="10"/>
        <rFont val="Times New Roman"/>
        <family val="1"/>
        <charset val="238"/>
      </rPr>
      <t>6</t>
    </r>
    <r>
      <rPr>
        <b/>
        <sz val="10"/>
        <rFont val="Times New Roman"/>
        <family val="1"/>
        <charset val="238"/>
      </rPr>
      <t xml:space="preserve"> = </t>
    </r>
    <r>
      <rPr>
        <sz val="10"/>
        <rFont val="Times New Roman"/>
        <family val="1"/>
        <charset val="238"/>
      </rPr>
      <t>przychody ze sprzedaży ogółem / aktywa ogółem</t>
    </r>
  </si>
  <si>
    <t>Kryterium</t>
  </si>
  <si>
    <t>Klasyfikacja punktowa</t>
  </si>
  <si>
    <t>Punktacja</t>
  </si>
  <si>
    <t>Punkty</t>
  </si>
  <si>
    <t xml:space="preserve"> - pomiędzy 0,8 - 1,1 (liniowo)</t>
  </si>
  <si>
    <t>0-10</t>
  </si>
  <si>
    <t xml:space="preserve"> - poniżej 1,0</t>
  </si>
  <si>
    <t>Suma punktów:</t>
  </si>
  <si>
    <t>Kategoria bieżącej sytuacji finansowej</t>
  </si>
  <si>
    <t>Przepływy pieniężne netto z działalności operacyjnej</t>
  </si>
  <si>
    <t>Wpływy z działalności finansowej</t>
  </si>
  <si>
    <t>Wydatki z działalności finansowej</t>
  </si>
  <si>
    <t>dni</t>
  </si>
  <si>
    <t>12.</t>
  </si>
  <si>
    <t>Średnia z ilości punktów</t>
  </si>
  <si>
    <t>Wartość funkcji dyskryminacyjnej W - model prof. E. Mączyńskiej</t>
  </si>
  <si>
    <t>Przepływy pieniężne netto z dzialałności inwestycyjnej (-)</t>
  </si>
  <si>
    <t>Wartość wskaźnika WPOD</t>
  </si>
  <si>
    <t>Wynik</t>
  </si>
  <si>
    <t xml:space="preserve"> - w ostatnim  roku powyżej roku poprzedniego</t>
  </si>
  <si>
    <t xml:space="preserve"> - brak danych za 3 lata (działalność prowadzona jest krócej)</t>
  </si>
  <si>
    <t xml:space="preserve"> - pozostałe przypadki</t>
  </si>
  <si>
    <t xml:space="preserve"> - pomiędzy 0,0% - 5,0% (liniowo)</t>
  </si>
  <si>
    <t xml:space="preserve"> - poniżej 0,0%</t>
  </si>
  <si>
    <t xml:space="preserve"> - we wszystkich okresach dodatnia i w ostatnim roku wzrosła</t>
  </si>
  <si>
    <t xml:space="preserve"> - we wszystkich okresach dodatnia i w ostatnim roku zmalała</t>
  </si>
  <si>
    <t xml:space="preserve"> - we wszystkich lub ostatnich 2 okresach ujemna</t>
  </si>
  <si>
    <t xml:space="preserve"> - pomiędzy 0,0% - 30,0% (liniowo)</t>
  </si>
  <si>
    <t xml:space="preserve"> - pomiędzy 10,0% - 50,0% (liniowo)</t>
  </si>
  <si>
    <t>0-5</t>
  </si>
  <si>
    <t xml:space="preserve"> - "TAK"</t>
  </si>
  <si>
    <t xml:space="preserve"> - "NIE"</t>
  </si>
  <si>
    <t xml:space="preserve"> - pomiędzy 0,0 - 2,0 (liniowo)</t>
  </si>
  <si>
    <t>Bieżąca sytuacja finansowa - Informacja pomocnicza - Interpretacja wyników</t>
  </si>
  <si>
    <t xml:space="preserve"> - poniżej 0,0</t>
  </si>
  <si>
    <t>Przepływy pieniężne netto razem (A.+/-B.+/-C.)</t>
  </si>
  <si>
    <t>Zysk/strata z działalności operacyjnej EBIT</t>
  </si>
  <si>
    <t>Zysk/strata netto</t>
  </si>
  <si>
    <t>Koszty finansowe</t>
  </si>
  <si>
    <t>Koszty działalności operacyjnej, w tym:</t>
  </si>
  <si>
    <t>Aktywa obrotowe = Zapasy + Należności krótkoterm + Inwestycje krótkoterm + Krótkoterm rozl. Miedzyokres.</t>
  </si>
  <si>
    <t>Suma aktywów = Aktywa trwałe + Aktywa obrotowe</t>
  </si>
  <si>
    <t>CF finansowy = Wpływy finansowe - Wydatki finansowe</t>
  </si>
  <si>
    <t>Suma pasywów = Suma aktywów</t>
  </si>
  <si>
    <t>Środki pieniężne na koniec okrsu n-1 = Środki pieniężne na początek okresu n</t>
  </si>
  <si>
    <t>Suma pasywów = Kapitał własny + Zobowiązania i rezerwy</t>
  </si>
  <si>
    <t>CF ogólny = CF operacyjny + CF inwestycyjny + CF finansowy</t>
  </si>
  <si>
    <t>CF na koniec okresu = CF ogólny + Środki na początek okresu</t>
  </si>
  <si>
    <t>CF na koniec okresu = Aktywa. Inwestycje krótkoterminowe</t>
  </si>
  <si>
    <t>Zobowiązania i rezerwy na zobow = Rezerwy + Zobow. Długoterm. + Zobow. Krótkoterm. + Rozliczenia międzyokres.</t>
  </si>
  <si>
    <t>liczba*</t>
  </si>
  <si>
    <t xml:space="preserve"> - pomiędzy 0,0 - 0,67 (liniowo)</t>
  </si>
  <si>
    <t xml:space="preserve"> - 0,8 i poniżej</t>
  </si>
  <si>
    <t xml:space="preserve"> - 10,0% i poniżej</t>
  </si>
  <si>
    <t xml:space="preserve"> - poniżej 15/30 dni (zapasy/należności, zobowiązania)</t>
  </si>
  <si>
    <t xml:space="preserve"> - powyżej 60/90 dni (zapasy/należności, zobowiązania)</t>
  </si>
  <si>
    <t>Wskaźnik rotacji zapasów</t>
  </si>
  <si>
    <t>Wskaźnik rotacji należności</t>
  </si>
  <si>
    <t>Wskaźnik rotacji zobowiązań krótkoterminowych</t>
  </si>
  <si>
    <t>Środki pieniężne netto z działalności operacyjnej (+/-)</t>
  </si>
  <si>
    <t>Przepływy pieniężne netto z działalności inwestycyjnej (+/-)</t>
  </si>
  <si>
    <t>Przepływy pieniężne netto z działalności finansowej (+/-)</t>
  </si>
  <si>
    <t>Wpływy finansowe (+)</t>
  </si>
  <si>
    <t>Wydatki finansowe  (+) (2.1+2.2+2.3)</t>
  </si>
  <si>
    <t>Spłaty rat kredytów/pożyczek (+)</t>
  </si>
  <si>
    <t>Spłata odsetek od kredytów/pożyczek (+)</t>
  </si>
  <si>
    <t>Inne wydatki finansowe (np. dywidendy) (+)</t>
  </si>
  <si>
    <t xml:space="preserve"> - pomiędzy 15-30 / 30- 90 dni (zapasy/należności, zobowiązania) (liniowo)</t>
  </si>
  <si>
    <t>9.1</t>
  </si>
  <si>
    <t>9.2</t>
  </si>
  <si>
    <t>9.3</t>
  </si>
  <si>
    <t>Jednostka</t>
  </si>
  <si>
    <t>Metoda</t>
  </si>
  <si>
    <t>Kryterium nr 3</t>
  </si>
  <si>
    <t>Kryterium nr 1</t>
  </si>
  <si>
    <t>Kryterium nr 2</t>
  </si>
  <si>
    <t>Kryterium nr 4</t>
  </si>
  <si>
    <t>Kryterium nr 5</t>
  </si>
  <si>
    <t>Kryterium nr 6</t>
  </si>
  <si>
    <t>Kryterium nr 7</t>
  </si>
  <si>
    <t>Kryterium nr 8</t>
  </si>
  <si>
    <t>Kryterium nr 9</t>
  </si>
  <si>
    <t>Kryterium nr 10</t>
  </si>
  <si>
    <t>Kryterium nr 11</t>
  </si>
  <si>
    <t>Kryterium nr 12</t>
  </si>
  <si>
    <t>Kryterium nr 9.1</t>
  </si>
  <si>
    <t>Kryterium nr 9.2</t>
  </si>
  <si>
    <t>Kryterium nr 9.3</t>
  </si>
  <si>
    <t>Analiza ilościowa - wskaźniki finansowe</t>
  </si>
  <si>
    <t>Przychody</t>
  </si>
  <si>
    <t>Należności</t>
  </si>
  <si>
    <t>Wskaźnik (krotność)</t>
  </si>
  <si>
    <t>Zobowiązania</t>
  </si>
  <si>
    <t>Zapasy</t>
  </si>
  <si>
    <t>Obliczenia łańcuchowe</t>
  </si>
  <si>
    <t>Średnia z wprowadzonych okresów</t>
  </si>
  <si>
    <t>Wartość z ostatniego roku</t>
  </si>
  <si>
    <t>Średnia ze średniej z trzech wskaźników rotacji</t>
  </si>
  <si>
    <t>2.1</t>
  </si>
  <si>
    <t>2.2</t>
  </si>
  <si>
    <t>Kategoria</t>
  </si>
  <si>
    <t>2.3</t>
  </si>
  <si>
    <t>Kategoria bieżącej sytuacji finansowej:</t>
  </si>
  <si>
    <t>Punktacja bieżącej sytuacji finansowej:</t>
  </si>
  <si>
    <t>Aktywa obrotowe</t>
  </si>
  <si>
    <t>Należności krótkoterminowe</t>
  </si>
  <si>
    <t>Inwestycje krótkoterminowe, w tym:</t>
  </si>
  <si>
    <t xml:space="preserve"> - środki pieniężne</t>
  </si>
  <si>
    <t>Krótkoterminowe rozl. międzyokresowe</t>
  </si>
  <si>
    <t>Rezerwy na zobowiazania</t>
  </si>
  <si>
    <t>Zobowiazania długoterminowe</t>
  </si>
  <si>
    <t>Zobowiązania krótkoterminowe</t>
  </si>
  <si>
    <t>Rozliczenia międzyokresowe</t>
  </si>
  <si>
    <t>Zobowiązania i rezerwy na zobowiązania</t>
  </si>
  <si>
    <t xml:space="preserve"> - amortyzacja</t>
  </si>
  <si>
    <t>Rachunek przepływów środków pieniężnych</t>
  </si>
  <si>
    <t>Weryfikacja danych finansowych</t>
  </si>
  <si>
    <t>Kapitał (fundusz) własny, w tym:</t>
  </si>
  <si>
    <t>Rating</t>
  </si>
  <si>
    <t>Lp.</t>
  </si>
  <si>
    <t>76-100 pkt.</t>
  </si>
  <si>
    <t>60-75 pkt.</t>
  </si>
  <si>
    <t>50-59 pkt.</t>
  </si>
  <si>
    <t>33-49 pkt.</t>
  </si>
  <si>
    <t>0-32 pkt.</t>
  </si>
  <si>
    <t>1.</t>
  </si>
  <si>
    <t>2.</t>
  </si>
  <si>
    <t>3.</t>
  </si>
  <si>
    <t>4.</t>
  </si>
  <si>
    <t>5.</t>
  </si>
  <si>
    <t xml:space="preserve"> - pomiędzy 0,75 - 1,1 (liniowo)</t>
  </si>
  <si>
    <t xml:space="preserve"> - poniżej 0,75</t>
  </si>
  <si>
    <t>6.</t>
  </si>
  <si>
    <t>Wyszczególnienie</t>
  </si>
  <si>
    <t>Bieżąca sytuacja finansowa - Wysoka</t>
  </si>
  <si>
    <t>Bieżąca sytuacja finansowa - Dobra</t>
  </si>
  <si>
    <t>Bieżąca sytuacja finansowa - Zadowalająca</t>
  </si>
  <si>
    <t>Bieżąca sytuacja finansowa - Niska</t>
  </si>
  <si>
    <t>Bieżąca sytuacja finansowa - Zła / trudności finansowe</t>
  </si>
  <si>
    <t>Rachunek zysków i strat</t>
  </si>
  <si>
    <t>A.</t>
  </si>
  <si>
    <t>Przychody netto ze sprzedaży i zrównane z nimi</t>
  </si>
  <si>
    <t>B.</t>
  </si>
  <si>
    <t>7.</t>
  </si>
  <si>
    <t>8.</t>
  </si>
  <si>
    <t>C.</t>
  </si>
  <si>
    <t>Zysk/strata ze sprzedaży (A-B)</t>
  </si>
  <si>
    <t>D.</t>
  </si>
  <si>
    <t xml:space="preserve"> </t>
  </si>
  <si>
    <t>F.</t>
  </si>
  <si>
    <t>G.</t>
  </si>
  <si>
    <t>H.</t>
  </si>
  <si>
    <t>L.</t>
  </si>
  <si>
    <t>Podatek dochodowy</t>
  </si>
  <si>
    <t>N.</t>
  </si>
  <si>
    <t>Bilans - Aktywa</t>
  </si>
  <si>
    <t>Aktywa trwałe</t>
  </si>
  <si>
    <t>Bilans - Pasywa</t>
  </si>
  <si>
    <t>9.</t>
  </si>
  <si>
    <t>Suma Pasywów (A+B)</t>
  </si>
  <si>
    <t>Środki pieniężne na początek okresu</t>
  </si>
  <si>
    <t>Środki pieniężne na koniec okresu (F+/-D)</t>
  </si>
  <si>
    <t>Wskaźniki finansowe</t>
  </si>
  <si>
    <t>%</t>
  </si>
  <si>
    <t>10.</t>
  </si>
  <si>
    <t>11.</t>
  </si>
  <si>
    <t>Premia za ryzyko</t>
  </si>
  <si>
    <t>Dane uzupełniające do oceny punktowej wskaźnika rentowności kapitału</t>
  </si>
  <si>
    <t>Dynamika sprzedaży. Formuła: zmiana przychodów ze sprzedaży rok do roku</t>
  </si>
  <si>
    <t>Rentowność sprzedaży - wskaźnik rentowności sprzedaży. Formuła: wynik na sprzedaży / sprzedaż ogółem</t>
  </si>
  <si>
    <t>Rentowność kapitału - wskaźnik ROE. Formuła: wynik netto / kapitały własne</t>
  </si>
  <si>
    <t>Płynność finansowa - wskaźnik płynności finansowej II stopnia: Formuła: (aktywa bieżące - zapasy) / zobowiązania bieżące</t>
  </si>
  <si>
    <t>Pokrycie zadłużenia - wskaźnik pokrycia obsługi długu z gotówki operacyjnej. Formuła: CF operacyjny / zadłużenie (zobowiązania ogółem)</t>
  </si>
  <si>
    <t>Wypłacalność - wskaźnik pokrycia aktywów kapitałami własnymi. Formuła: kapitał własny / aktywa ogółem</t>
  </si>
  <si>
    <t>Poziom zadłużenia - wskaźnik ogólnego zadłużenia. Formuła: (zobowiązania + rezerwy na zobowiązania) / aktywa ogółem</t>
  </si>
  <si>
    <t>Pokrycie zadłużenia - wskaźnik pokrycia obsługi długu z przepływów pieniężnych WPOD. Formuła: (CF operacyjny + CF inwestycyjny + CF finansowy (wpływy) + saldo środków na początek okresu) / CF finansowy (wydatki)</t>
  </si>
  <si>
    <t>Sprawność działalnia - wskaźniki rotacji (zapasów, należności i zobowiązań). Formuła: (stan zapasów, należności, zobowiązań x liczba dni) / przychody netto ze sprzedaży</t>
  </si>
  <si>
    <t>Pokrycie aktywów stałych: kapitał własny / aktywa trwałe</t>
  </si>
  <si>
    <t>Efekt dźwigni finansowej: ROE &gt; (wynik netto + koszty odsetek + podatek dochodowy) / aktywa ogółem</t>
  </si>
  <si>
    <t>Analiza dyskryminacyjna - model prof. E. Mączyńskiej</t>
  </si>
  <si>
    <t>Wynik oceny</t>
  </si>
  <si>
    <t>CCC</t>
  </si>
  <si>
    <t>BBB</t>
  </si>
  <si>
    <t>BB</t>
  </si>
  <si>
    <t>B</t>
  </si>
  <si>
    <t>AAA-A</t>
  </si>
  <si>
    <t>Jedn. / Lata</t>
  </si>
  <si>
    <t>Marża w punktach bazowych*)</t>
  </si>
  <si>
    <t>Źródło: http://www.bankier.pl/kredyty-hipoteczne/stopy-procentowe/wibor</t>
  </si>
  <si>
    <t xml:space="preserve"> - 5,0% i powyżej </t>
  </si>
  <si>
    <t xml:space="preserve"> - 1,1 i powyżej </t>
  </si>
  <si>
    <t xml:space="preserve"> - 30,0% i powyżej </t>
  </si>
  <si>
    <t xml:space="preserve"> - 50,0% i powyżej </t>
  </si>
  <si>
    <t xml:space="preserve"> - 0,67 i powyżej </t>
  </si>
  <si>
    <t xml:space="preserve"> - 2,0 i powyżej </t>
  </si>
  <si>
    <t xml:space="preserve"> - rośnie z roku na rok</t>
  </si>
  <si>
    <t>Dane na dzień</t>
  </si>
  <si>
    <t xml:space="preserve"> - w przypadku, gdy zarówno kapitał własny jak i wynik netto są ujemne</t>
  </si>
  <si>
    <r>
      <rPr>
        <b/>
        <sz val="10"/>
        <rFont val="Arial"/>
        <family val="2"/>
        <charset val="238"/>
      </rPr>
      <t xml:space="preserve">
1. Informacja dotycząca sposobu wypełniania pól liczbowych.</t>
    </r>
    <r>
      <rPr>
        <sz val="10"/>
        <rFont val="Arial"/>
        <family val="2"/>
        <charset val="238"/>
      </rPr>
      <t xml:space="preserve">
    Arkusz rozróżnia wartości zerowe i puste pola. W przypadku braku danych finansowych za dany okres należy poszczególne pozycje pozostawić puste lub
    wprowadzone już dane usunąć (np.: klawiszem ,,DEL” lub wbudowanym przyciskiem ,,Wyczyść dane finansowe”).
    W przypadku, gdy wartość pozycji jest równa zero (,,0”) należy wpisać tę wartość w odpowiednią pozycję. 
</t>
    </r>
    <r>
      <rPr>
        <b/>
        <sz val="10"/>
        <rFont val="Arial"/>
        <family val="2"/>
        <charset val="238"/>
      </rPr>
      <t xml:space="preserve">2. Informacja uzupełniająca dotycząca sposobu prezentacji danych w arkuszu ,,Dane finansowe”, w tabelach:
   ,,Rachunek zysków i strat”,
   ,,Bilans — Aktywa”,
   ,,Bilans — Pasywa”.
   "Rachunek przepływów środków pieniężnych"
</t>
    </r>
    <r>
      <rPr>
        <sz val="10"/>
        <rFont val="Arial"/>
        <family val="2"/>
        <charset val="238"/>
      </rPr>
      <t xml:space="preserve">Wartości poszczególnych pozycji w wyżej wymienionych tabelach należy wpisywać zgodnie z danymi zawartymi w sprawozdaniach finansowych. 
</t>
    </r>
    <r>
      <rPr>
        <b/>
        <sz val="10"/>
        <rFont val="Arial"/>
        <family val="2"/>
        <charset val="238"/>
      </rPr>
      <t xml:space="preserve">3. Informacja uzupełniająca dotycząca sposobu prezentacji danych w arkuszu ,,Dane finansowe” w tabeli ,,Rachunek przepływów pieniężnych”. </t>
    </r>
    <r>
      <rPr>
        <sz val="10"/>
        <rFont val="Arial"/>
        <family val="2"/>
        <charset val="238"/>
      </rPr>
      <t xml:space="preserve">
    Dane z "Rachunku przepływów pieniężnych" mają wpływ na rating dlatego też zaleca się, aby tabelę wypełniły również podmioty, które zgodnie z ustawą
    o rachunkowości nie mają obowiązku sporządzania tego sprawozdania.
</t>
    </r>
    <r>
      <rPr>
        <b/>
        <sz val="10"/>
        <rFont val="Arial"/>
        <family val="2"/>
        <charset val="238"/>
      </rPr>
      <t>Pozycja A. Przepływy pieniężne netto z działalności operacyjnej.</t>
    </r>
    <r>
      <rPr>
        <sz val="10"/>
        <rFont val="Arial"/>
        <family val="2"/>
        <charset val="238"/>
      </rPr>
      <t xml:space="preserve">
    Dodatnie przepływy (wpływy pieniężne) należy wpisywać ze znakiem ,,+“. 
    Ujemne przepływy (wydatki pieniężne) należy wpisywać ze znakiem ,,-“. 
</t>
    </r>
    <r>
      <rPr>
        <b/>
        <sz val="10"/>
        <rFont val="Arial"/>
        <family val="2"/>
        <charset val="238"/>
      </rPr>
      <t>Pozycja B. Przepływy pieniężne netto z działalności inwestycyjnej.</t>
    </r>
    <r>
      <rPr>
        <sz val="10"/>
        <rFont val="Arial"/>
        <family val="2"/>
        <charset val="238"/>
      </rPr>
      <t xml:space="preserve">
    Dodatnie przepływy (wpływy pieniężne) należy wpisywać ze znakiem ,,+“.
    Ujemne przepływy (wydatki pieniężne) należy wpisywać ze znakiem ,,-“.
</t>
    </r>
    <r>
      <rPr>
        <b/>
        <sz val="10"/>
        <rFont val="Arial"/>
        <family val="2"/>
        <charset val="238"/>
      </rPr>
      <t>Pozycja C. Przepływy pieniężne netto z działalności finansowej.</t>
    </r>
    <r>
      <rPr>
        <sz val="10"/>
        <rFont val="Arial"/>
        <family val="2"/>
        <charset val="238"/>
      </rPr>
      <t xml:space="preserve">
    Wpływy z działalności finansowej (pozycja C.1.) należy wpisywać ze znakiem ,,+“.
    Wydatki z działalności finansowej (pozycje C.2.1 – C.2.3.) należy wpisywać ze znakiem ,,+“. 
    Wartość w pozycji C.2. stanowi wynik sumowania poszczególnych wydatków finansowych wymienionych w pozycjach od C.2. 1. do C.2.3. 
Wartości poszczególnych pozycji w wyżej wymienionych tabelach należy wpisywać zgodnie z danymi zawartymi w sprawozdaniach finansowych. 
</t>
    </r>
  </si>
  <si>
    <t>WIBOR 1R</t>
  </si>
  <si>
    <t>Nazwa Beneficjenta:</t>
  </si>
  <si>
    <t>Adres Beneficjenta:</t>
  </si>
  <si>
    <t>zł</t>
  </si>
  <si>
    <t>tys. zł</t>
  </si>
  <si>
    <t>Spółka XYZ Sp. z o.o.</t>
  </si>
  <si>
    <t>00-001 Warszawa, ul. Warszawska 1/11</t>
  </si>
  <si>
    <r>
      <t xml:space="preserve">Przychody ze sprzedaży
</t>
    </r>
    <r>
      <rPr>
        <i/>
        <sz val="10"/>
        <rFont val="Times New Roman"/>
        <family val="1"/>
        <charset val="238"/>
      </rPr>
      <t>Formuła: zmiana przychodów ze sprzedaży</t>
    </r>
  </si>
  <si>
    <r>
      <t xml:space="preserve">Rentowność sprzedaży - wskaźnik rentowności sprzedaży
</t>
    </r>
    <r>
      <rPr>
        <i/>
        <sz val="10"/>
        <rFont val="Times New Roman"/>
        <family val="1"/>
        <charset val="238"/>
      </rPr>
      <t>Formuła: wynik na sprzedaży / sprzedaż ogółem</t>
    </r>
  </si>
  <si>
    <r>
      <t xml:space="preserve">Rentowność kapitału - wskaźnik ROE
</t>
    </r>
    <r>
      <rPr>
        <i/>
        <sz val="10"/>
        <rFont val="Times New Roman"/>
        <family val="1"/>
        <charset val="238"/>
      </rPr>
      <t>Formuła: wynik netto / kapitały własne</t>
    </r>
  </si>
  <si>
    <r>
      <t xml:space="preserve">Płynność finansowa - wskaźnik płynności finansowej II stopnia
</t>
    </r>
    <r>
      <rPr>
        <i/>
        <sz val="10"/>
        <rFont val="Times New Roman"/>
        <family val="1"/>
        <charset val="238"/>
      </rPr>
      <t>Formuła: (aktywa bieżące - zapasy) / zobowiązania bieżące</t>
    </r>
  </si>
  <si>
    <r>
      <t xml:space="preserve">Pokrycie zadłużenia - wskaźnik pokrycia obsługi długu z gotówki operacyjnej
</t>
    </r>
    <r>
      <rPr>
        <i/>
        <sz val="10"/>
        <rFont val="Times New Roman"/>
        <family val="1"/>
        <charset val="238"/>
      </rPr>
      <t>Formuła: CF operacyjny / zadłużenie (zobowiązania ogółem)</t>
    </r>
  </si>
  <si>
    <r>
      <t xml:space="preserve">Wypłacalność - wskaźnik pokrycia aktywów kapitałami własnymi
</t>
    </r>
    <r>
      <rPr>
        <i/>
        <sz val="10"/>
        <rFont val="Times New Roman"/>
        <family val="1"/>
        <charset val="238"/>
      </rPr>
      <t>Formuła: kapitał własny / aktywa ogółem</t>
    </r>
  </si>
  <si>
    <r>
      <t xml:space="preserve">Poziom zadłużenia - wskaźnik ogólnego zadłużenia
</t>
    </r>
    <r>
      <rPr>
        <i/>
        <sz val="10"/>
        <rFont val="Times New Roman"/>
        <family val="1"/>
        <charset val="238"/>
      </rPr>
      <t>Formuła: (zobowiązania + rezerwy na zobowiązania) / aktywa ogółem</t>
    </r>
  </si>
  <si>
    <r>
      <t xml:space="preserve">Pokrycie zadłużenia - wskaźnik pokrycia obsługi długu z przepływów pieniężnych WPOD
</t>
    </r>
    <r>
      <rPr>
        <i/>
        <sz val="10"/>
        <rFont val="Times New Roman"/>
        <family val="1"/>
        <charset val="238"/>
      </rPr>
      <t>Formuła: (CF operacyjny + CF inwestycyjny + CF finansowy (wpływy) + saldo środków na początek okresu) / CF finansowy (wydatki)</t>
    </r>
  </si>
  <si>
    <r>
      <t xml:space="preserve">Sprawność działalnia - wskaźniki rotacji (zapasów, należności i zobowiązań)
</t>
    </r>
    <r>
      <rPr>
        <i/>
        <sz val="10"/>
        <rFont val="Times New Roman"/>
        <family val="1"/>
        <charset val="238"/>
      </rPr>
      <t>Formuła: (stan zapasów, należności, zobowiązań x liczba dni) / przychody netto ze sprzedaży</t>
    </r>
  </si>
  <si>
    <r>
      <t xml:space="preserve">Pokrycie aktywów stałych
</t>
    </r>
    <r>
      <rPr>
        <i/>
        <sz val="10"/>
        <rFont val="Times New Roman"/>
        <family val="1"/>
        <charset val="238"/>
      </rPr>
      <t>Formuła: kapitał własny / aktywa trwałe</t>
    </r>
  </si>
  <si>
    <r>
      <t xml:space="preserve">Efekt dźwigni finansowej
</t>
    </r>
    <r>
      <rPr>
        <i/>
        <sz val="10"/>
        <rFont val="Times New Roman"/>
        <family val="1"/>
        <charset val="238"/>
      </rPr>
      <t>Formuła: ROE &gt; (wynik netto + koszty odsetek + podatek dochodowy) / aktywa ogółem</t>
    </r>
  </si>
  <si>
    <r>
      <t xml:space="preserve">Analiza dyskryminacyjna - model prof. E. Mączyńskiej
</t>
    </r>
    <r>
      <rPr>
        <i/>
        <sz val="10"/>
        <rFont val="Times New Roman"/>
        <family val="1"/>
        <charset val="238"/>
      </rPr>
      <t>Formuła: W= 1,5 x ((zysk netto+amortyzacja) / zobowiązania ogółem) + 0,08 x (aktywa ogółem / zobowiązania ogółem) + 10 x (EBIT / aktywa ogółem) + 5 x (EBIT / przychody ze sprzedaży ogółem) + 0,3 x (zapasy / przychody ze sprzedaży ogółem) + 0,1 x (przychody ze sprzedaży ogółem / aktywa ogółem)</t>
    </r>
  </si>
  <si>
    <t>Razem - Wartość maksymalna ROE</t>
  </si>
  <si>
    <t>Wartość</t>
  </si>
  <si>
    <t>Jedn.</t>
  </si>
  <si>
    <t>Rok 2020</t>
  </si>
  <si>
    <t>Rok 2021</t>
  </si>
  <si>
    <t>Należne wpłaty na kapitał (fundusz) podstawowy</t>
  </si>
  <si>
    <t>Udziały (akcje) własne</t>
  </si>
  <si>
    <t>Suma aktywów (A+B+C+D)</t>
  </si>
  <si>
    <t>1-10</t>
  </si>
  <si>
    <t>1-5</t>
  </si>
  <si>
    <t>Rok 2022</t>
  </si>
  <si>
    <t xml:space="preserve"> - wartość minimalna (robocza)</t>
  </si>
  <si>
    <t>Wysokość stopy bazowej:</t>
  </si>
  <si>
    <t>Rok złożenia wniosku:</t>
  </si>
  <si>
    <t>Jednostka sprawozdań finansowych:</t>
  </si>
  <si>
    <t>FENX.02.01 Infrastruktura ciepłownicza</t>
  </si>
  <si>
    <t>Program Fundusze Europejskie na Infrastrukturę, Klimat, Środowisko 2021-2027</t>
  </si>
  <si>
    <t>Wyliczenie średniego ważonego kosztu kapitału (WACC)</t>
  </si>
  <si>
    <t>Sposób wyliczania WACC jest opisany szczegółowo w "Metodyce wyliczenia maksymalnej wysokości dofinansowania" stanowiącej załącznik do Regulaminu wyboru projektów</t>
  </si>
  <si>
    <t xml:space="preserve">Kapitał własny </t>
  </si>
  <si>
    <t>KW</t>
  </si>
  <si>
    <t>Kapitał obcy</t>
  </si>
  <si>
    <t>KO</t>
  </si>
  <si>
    <t>Stopa wolna od ryzyka</t>
  </si>
  <si>
    <r>
      <t>r</t>
    </r>
    <r>
      <rPr>
        <vertAlign val="subscript"/>
        <sz val="10"/>
        <rFont val="Arial"/>
        <family val="2"/>
        <charset val="238"/>
      </rPr>
      <t xml:space="preserve">f </t>
    </r>
  </si>
  <si>
    <t>Premia za ryzyko udostępnienia kapitału obcego</t>
  </si>
  <si>
    <t>M</t>
  </si>
  <si>
    <t>Oznaczenie</t>
  </si>
  <si>
    <t>Koszt kapitału obcego</t>
  </si>
  <si>
    <r>
      <t>r</t>
    </r>
    <r>
      <rPr>
        <vertAlign val="subscript"/>
        <sz val="10"/>
        <rFont val="Arial"/>
        <family val="2"/>
        <charset val="238"/>
      </rPr>
      <t xml:space="preserve">d </t>
    </r>
  </si>
  <si>
    <t>Rating przedsiębiorstwa (sytuacja finansowa)</t>
  </si>
  <si>
    <t>Miara zaangażowania kapitału (equity beta)</t>
  </si>
  <si>
    <r>
      <t>β</t>
    </r>
    <r>
      <rPr>
        <vertAlign val="subscript"/>
        <sz val="10"/>
        <rFont val="Arial"/>
        <family val="2"/>
        <charset val="238"/>
      </rPr>
      <t xml:space="preserve">e </t>
    </r>
  </si>
  <si>
    <t>Współczynnik asset beta</t>
  </si>
  <si>
    <r>
      <t>β</t>
    </r>
    <r>
      <rPr>
        <vertAlign val="subscript"/>
        <sz val="10"/>
        <rFont val="Arial"/>
        <family val="2"/>
        <charset val="238"/>
      </rPr>
      <t xml:space="preserve">a </t>
    </r>
  </si>
  <si>
    <t>Stopa podatku dochodowego</t>
  </si>
  <si>
    <t>t</t>
  </si>
  <si>
    <t>i</t>
  </si>
  <si>
    <t>Stopa nominalna WACC</t>
  </si>
  <si>
    <t>Stopa realna WACC</t>
  </si>
  <si>
    <t>Wysoka</t>
  </si>
  <si>
    <t>Dobra</t>
  </si>
  <si>
    <t>Niska</t>
  </si>
  <si>
    <t>Zła/trudności finansowe</t>
  </si>
  <si>
    <t>Koszt kapitału własnego</t>
  </si>
  <si>
    <r>
      <t>r</t>
    </r>
    <r>
      <rPr>
        <vertAlign val="subscript"/>
        <sz val="10"/>
        <rFont val="Arial"/>
        <family val="2"/>
        <charset val="238"/>
      </rPr>
      <t>e</t>
    </r>
  </si>
  <si>
    <t>rok 0 tj. 2023</t>
  </si>
  <si>
    <t>inflacja średnia</t>
  </si>
  <si>
    <t>Premia za ryzyko udostępnienia kapitału własnego</t>
  </si>
  <si>
    <t>RP</t>
  </si>
  <si>
    <r>
      <t>WACC</t>
    </r>
    <r>
      <rPr>
        <b/>
        <vertAlign val="subscript"/>
        <sz val="10"/>
        <rFont val="Arial"/>
        <family val="2"/>
        <charset val="238"/>
      </rPr>
      <t>pre-tax nom</t>
    </r>
  </si>
  <si>
    <r>
      <t>WACC</t>
    </r>
    <r>
      <rPr>
        <b/>
        <vertAlign val="subscript"/>
        <sz val="10"/>
        <rFont val="Arial"/>
        <family val="2"/>
        <charset val="238"/>
      </rPr>
      <t>pre-tax real</t>
    </r>
  </si>
  <si>
    <t>Zadawalająca</t>
  </si>
  <si>
    <t>Rok 2023</t>
  </si>
  <si>
    <r>
      <t>Stopa nominalna 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obliczana jest wg wzoru:</t>
    </r>
  </si>
  <si>
    <r>
      <t>gdzie: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nominalnie 
r</t>
    </r>
    <r>
      <rPr>
        <vertAlign val="subscript"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 –  koszt kapitału obcego, 
r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koszt kapitału własnego, 
KO  –  kapitał obcy, 
KW  –  kapitał własny, 
t  –  stopa podatku dochodowego.</t>
    </r>
  </si>
  <si>
    <r>
      <t>gdzie: 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 [w %]; równa aktualnej stopie bazowej publikowanej na stronie
         https://uokik.gov.pl/wyjasnienia-wzory-oraz-pomocne-pliki
M –  premia za ryzyko udostępnienia kapitału obcego; od 0,6% do 4% w zależności od ratingu przedsiębiorstwa</t>
    </r>
  </si>
  <si>
    <r>
      <t>gdzie:
r</t>
    </r>
    <r>
      <rPr>
        <vertAlign val="subscript"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  –  stopa wolna od ryzyka,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
RP –  premia za ryzyko udostępnienia kapitału własnego; równa 5%. 
</t>
    </r>
  </si>
  <si>
    <r>
      <t>gdzie: 
β</t>
    </r>
    <r>
      <rPr>
        <vertAlign val="subscript"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 –  miara ryzyka zaangażowania kapitału (equity beta), 
β</t>
    </r>
    <r>
      <rPr>
        <vertAlign val="subscript"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 –  współczynnik asset beta, równy 0,4
KO  –  kapitał obcy, 
KW  –  kapitał własny, 
t  –  stopa podatku dochodowego [w %].
</t>
    </r>
  </si>
  <si>
    <r>
      <t>Stopa realna WACC</t>
    </r>
    <r>
      <rPr>
        <vertAlign val="subscript"/>
        <sz val="10"/>
        <rFont val="Times New Roman"/>
        <family val="1"/>
        <charset val="238"/>
      </rPr>
      <t>pre-tax real</t>
    </r>
    <r>
      <rPr>
        <sz val="10"/>
        <rFont val="Times New Roman"/>
        <family val="1"/>
        <charset val="238"/>
      </rPr>
      <t xml:space="preserve"> obliczana jest wg wzoru:</t>
    </r>
  </si>
  <si>
    <r>
      <t>gdzie: 
WACC</t>
    </r>
    <r>
      <rPr>
        <vertAlign val="subscript"/>
        <sz val="10"/>
        <rFont val="Times New Roman"/>
        <family val="1"/>
        <charset val="238"/>
      </rPr>
      <t>pre-tax nom</t>
    </r>
    <r>
      <rPr>
        <sz val="10"/>
        <rFont val="Times New Roman"/>
        <family val="1"/>
        <charset val="238"/>
      </rPr>
      <t xml:space="preserve">  –  średni ważony koszt kapitału przed opodatkowaniem, realnie
i  –  oczekiwana stopa inflacji, tj. średnia stopa inflacji w okresie 15 lat – zgodnie z „Wytycznymi dotyczącymi stosowania jednolitych wskaźników makroekonomicznych będących podstawą oszacowania skutków finansowych projektowanych ustaw” (październik 2023). </t>
    </r>
  </si>
  <si>
    <t>Oczekiwana stopa inflacji (lata 2024-2038)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</si>
</sst>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z_ł_-;\-* #,##0.00\ _z_ł_-;_-* &quot;-&quot;??\ _z_ł_-;_-@_-"/>
    <numFmt numFmtId="165" formatCode="0.0%"/>
    <numFmt numFmtId="166" formatCode="#,##0.0"/>
    <numFmt numFmtId="167" formatCode="_-* #,##0&quot;грн.&quot;_-;_-* #,##0&quot;грн.&quot;\-;_-* &quot;-&quot;&quot;грн.&quot;_-;_-@_-"/>
    <numFmt numFmtId="168" formatCode="_-* #,##0_г_р_н_._-;_-* #,##0_г_р_н_.\-;_-* &quot;-&quot;_г_р_н_._-;_-@_-"/>
    <numFmt numFmtId="169" formatCode="_-* #,##0.00&quot;грн.&quot;_-;_-* #,##0.00&quot;грн.&quot;\-;_-* &quot;-&quot;??&quot;грн.&quot;_-;_-@_-"/>
    <numFmt numFmtId="170" formatCode="_-* #,##0.00_г_р_н_._-;_-* #,##0.00_г_р_н_.\-;_-* &quot;-&quot;??_г_р_н_._-;_-@_-"/>
    <numFmt numFmtId="171" formatCode="#,##0.00;&quot;-&quot;#,##0.00"/>
    <numFmt numFmtId="172" formatCode="0.0000%"/>
    <numFmt numFmtId="173" formatCode="#,##0.0000"/>
  </numFmts>
  <fonts count="45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22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2"/>
      <color indexed="24"/>
      <name val="Arial"/>
      <family val="2"/>
      <charset val="238"/>
    </font>
    <font>
      <sz val="11"/>
      <color indexed="17"/>
      <name val="Czcionka tekstu podstawowego"/>
      <family val="2"/>
      <charset val="238"/>
    </font>
    <font>
      <b/>
      <sz val="18"/>
      <color indexed="24"/>
      <name val="Arial"/>
      <family val="2"/>
      <charset val="238"/>
    </font>
    <font>
      <b/>
      <sz val="12"/>
      <color indexed="24"/>
      <name val="Arial"/>
      <family val="2"/>
      <charset val="238"/>
    </font>
    <font>
      <sz val="10"/>
      <name val="Arial Cyr"/>
      <charset val="204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2"/>
      <name val="SwitzerlandCondensed"/>
      <family val="2"/>
      <charset val="238"/>
    </font>
    <font>
      <sz val="10"/>
      <name val="Times New Roman CE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8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vertAlign val="subscript"/>
      <sz val="10"/>
      <name val="Times New Roman"/>
      <family val="1"/>
      <charset val="238"/>
    </font>
    <font>
      <sz val="10"/>
      <color indexed="18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indexed="1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vertAlign val="subscript"/>
      <sz val="10"/>
      <name val="Arial"/>
      <family val="2"/>
      <charset val="238"/>
    </font>
    <font>
      <b/>
      <vertAlign val="subscript"/>
      <sz val="10"/>
      <name val="Arial"/>
      <family val="2"/>
      <charset val="238"/>
    </font>
    <font>
      <b/>
      <sz val="12"/>
      <name val="Times New Roman"/>
      <family val="1"/>
      <charset val="238"/>
    </font>
    <font>
      <vertAlign val="subscript"/>
      <sz val="10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gray0625">
        <bgColor theme="0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3" fontId="6" fillId="0" borderId="0" applyFont="0" applyFill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0" borderId="0" applyFill="0" applyBorder="0" applyAlignment="0" applyProtection="0"/>
    <xf numFmtId="0" fontId="10" fillId="4" borderId="0" applyNumberFormat="0" applyBorder="0" applyAlignment="0" applyProtection="0"/>
    <xf numFmtId="164" fontId="1" fillId="0" borderId="0" applyFont="0" applyFill="0" applyBorder="0" applyAlignment="0" applyProtection="0"/>
    <xf numFmtId="2" fontId="9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8">
      <alignment horizontal="center"/>
    </xf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23" borderId="11" applyNumberFormat="0" applyFont="0" applyAlignment="0" applyProtection="0"/>
    <xf numFmtId="0" fontId="30" fillId="3" borderId="0" applyNumberFormat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</cellStyleXfs>
  <cellXfs count="304">
    <xf numFmtId="0" fontId="0" fillId="0" borderId="0" xfId="0"/>
    <xf numFmtId="0" fontId="32" fillId="26" borderId="0" xfId="51" applyFont="1" applyFill="1" applyAlignment="1">
      <alignment vertical="center"/>
    </xf>
    <xf numFmtId="0" fontId="32" fillId="26" borderId="0" xfId="51" applyFont="1" applyFill="1" applyAlignment="1">
      <alignment horizontal="center" vertical="center"/>
    </xf>
    <xf numFmtId="0" fontId="2" fillId="25" borderId="21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/>
    </xf>
    <xf numFmtId="0" fontId="0" fillId="29" borderId="0" xfId="0" applyFill="1"/>
    <xf numFmtId="0" fontId="0" fillId="28" borderId="16" xfId="0" applyFill="1" applyBorder="1"/>
    <xf numFmtId="0" fontId="0" fillId="28" borderId="22" xfId="0" applyFill="1" applyBorder="1"/>
    <xf numFmtId="0" fontId="0" fillId="28" borderId="17" xfId="0" applyFill="1" applyBorder="1"/>
    <xf numFmtId="10" fontId="32" fillId="26" borderId="0" xfId="55" applyNumberFormat="1" applyFont="1" applyFill="1" applyAlignment="1" applyProtection="1">
      <alignment vertical="center"/>
    </xf>
    <xf numFmtId="0" fontId="32" fillId="26" borderId="0" xfId="51" applyFont="1" applyFill="1" applyAlignment="1">
      <alignment vertical="center" wrapText="1"/>
    </xf>
    <xf numFmtId="0" fontId="2" fillId="25" borderId="12" xfId="51" applyFont="1" applyFill="1" applyBorder="1" applyAlignment="1">
      <alignment horizontal="center" vertical="center"/>
    </xf>
    <xf numFmtId="0" fontId="32" fillId="25" borderId="0" xfId="51" applyFont="1" applyFill="1" applyAlignment="1">
      <alignment horizontal="center" vertical="center" wrapText="1"/>
    </xf>
    <xf numFmtId="0" fontId="32" fillId="25" borderId="24" xfId="51" applyFont="1" applyFill="1" applyBorder="1" applyAlignment="1">
      <alignment horizontal="center" vertical="center" wrapText="1"/>
    </xf>
    <xf numFmtId="16" fontId="32" fillId="25" borderId="0" xfId="51" quotePrefix="1" applyNumberFormat="1" applyFont="1" applyFill="1" applyAlignment="1">
      <alignment horizontal="center" vertical="center" wrapText="1"/>
    </xf>
    <xf numFmtId="0" fontId="35" fillId="25" borderId="24" xfId="51" applyFont="1" applyFill="1" applyBorder="1" applyAlignment="1">
      <alignment horizontal="center" vertical="center" wrapText="1"/>
    </xf>
    <xf numFmtId="0" fontId="32" fillId="25" borderId="20" xfId="51" quotePrefix="1" applyFont="1" applyFill="1" applyBorder="1" applyAlignment="1">
      <alignment horizontal="center" vertical="center" wrapText="1"/>
    </xf>
    <xf numFmtId="0" fontId="32" fillId="25" borderId="0" xfId="51" quotePrefix="1" applyFont="1" applyFill="1" applyAlignment="1">
      <alignment horizontal="center" vertical="center" wrapText="1"/>
    </xf>
    <xf numFmtId="16" fontId="32" fillId="25" borderId="20" xfId="51" quotePrefix="1" applyNumberFormat="1" applyFont="1" applyFill="1" applyBorder="1" applyAlignment="1">
      <alignment horizontal="center" vertical="center"/>
    </xf>
    <xf numFmtId="16" fontId="32" fillId="25" borderId="22" xfId="51" quotePrefix="1" applyNumberFormat="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horizontal="center" vertical="center"/>
    </xf>
    <xf numFmtId="0" fontId="2" fillId="25" borderId="25" xfId="51" applyFont="1" applyFill="1" applyBorder="1" applyAlignment="1">
      <alignment horizontal="center" vertical="center"/>
    </xf>
    <xf numFmtId="1" fontId="2" fillId="25" borderId="21" xfId="51" applyNumberFormat="1" applyFont="1" applyFill="1" applyBorder="1" applyAlignment="1">
      <alignment horizontal="center" vertical="center"/>
    </xf>
    <xf numFmtId="0" fontId="2" fillId="25" borderId="17" xfId="51" applyFont="1" applyFill="1" applyBorder="1" applyAlignment="1">
      <alignment horizontal="center" vertical="center" wrapText="1"/>
    </xf>
    <xf numFmtId="0" fontId="2" fillId="25" borderId="21" xfId="52" applyFont="1" applyFill="1" applyBorder="1" applyAlignment="1">
      <alignment horizontal="center" vertical="center" wrapText="1"/>
    </xf>
    <xf numFmtId="0" fontId="2" fillId="26" borderId="0" xfId="51" applyFont="1" applyFill="1" applyAlignment="1">
      <alignment vertical="center"/>
    </xf>
    <xf numFmtId="0" fontId="33" fillId="26" borderId="0" xfId="51" applyFont="1" applyFill="1" applyAlignment="1">
      <alignment horizontal="center" vertical="center"/>
    </xf>
    <xf numFmtId="0" fontId="2" fillId="25" borderId="12" xfId="51" applyFont="1" applyFill="1" applyBorder="1" applyAlignment="1">
      <alignment horizontal="center" vertical="center" wrapText="1"/>
    </xf>
    <xf numFmtId="0" fontId="2" fillId="26" borderId="0" xfId="51" applyFont="1" applyFill="1" applyAlignment="1">
      <alignment horizontal="center" vertical="center"/>
    </xf>
    <xf numFmtId="2" fontId="32" fillId="25" borderId="21" xfId="51" applyNumberFormat="1" applyFont="1" applyFill="1" applyBorder="1" applyAlignment="1">
      <alignment horizontal="center" vertical="center"/>
    </xf>
    <xf numFmtId="2" fontId="32" fillId="25" borderId="12" xfId="51" applyNumberFormat="1" applyFont="1" applyFill="1" applyBorder="1" applyAlignment="1">
      <alignment horizontal="center" vertical="center"/>
    </xf>
    <xf numFmtId="1" fontId="32" fillId="25" borderId="12" xfId="51" applyNumberFormat="1" applyFont="1" applyFill="1" applyBorder="1" applyAlignment="1">
      <alignment horizontal="center" vertical="center"/>
    </xf>
    <xf numFmtId="0" fontId="2" fillId="24" borderId="12" xfId="51" applyFont="1" applyFill="1" applyBorder="1" applyAlignment="1">
      <alignment horizontal="left" vertical="center" indent="1"/>
    </xf>
    <xf numFmtId="0" fontId="2" fillId="25" borderId="20" xfId="51" applyFont="1" applyFill="1" applyBorder="1" applyAlignment="1">
      <alignment horizontal="center" vertical="center"/>
    </xf>
    <xf numFmtId="10" fontId="32" fillId="25" borderId="14" xfId="55" applyNumberFormat="1" applyFont="1" applyFill="1" applyBorder="1" applyAlignment="1" applyProtection="1">
      <alignment horizontal="center" vertical="center"/>
    </xf>
    <xf numFmtId="0" fontId="32" fillId="25" borderId="14" xfId="51" applyFont="1" applyFill="1" applyBorder="1" applyAlignment="1">
      <alignment vertical="center"/>
    </xf>
    <xf numFmtId="0" fontId="32" fillId="25" borderId="15" xfId="51" applyFont="1" applyFill="1" applyBorder="1" applyAlignment="1">
      <alignment vertical="center"/>
    </xf>
    <xf numFmtId="10" fontId="32" fillId="25" borderId="26" xfId="55" applyNumberFormat="1" applyFont="1" applyFill="1" applyBorder="1" applyAlignment="1" applyProtection="1">
      <alignment horizontal="center" vertical="center"/>
    </xf>
    <xf numFmtId="10" fontId="32" fillId="25" borderId="19" xfId="55" applyNumberFormat="1" applyFont="1" applyFill="1" applyBorder="1" applyAlignment="1" applyProtection="1">
      <alignment horizontal="center" vertical="center"/>
    </xf>
    <xf numFmtId="3" fontId="32" fillId="25" borderId="26" xfId="55" applyNumberFormat="1" applyFont="1" applyFill="1" applyBorder="1" applyAlignment="1" applyProtection="1">
      <alignment horizontal="center" vertical="center"/>
    </xf>
    <xf numFmtId="3" fontId="32" fillId="25" borderId="12" xfId="55" applyNumberFormat="1" applyFont="1" applyFill="1" applyBorder="1" applyAlignment="1" applyProtection="1">
      <alignment horizontal="center" vertical="center"/>
    </xf>
    <xf numFmtId="3" fontId="32" fillId="25" borderId="12" xfId="51" applyNumberFormat="1" applyFont="1" applyFill="1" applyBorder="1" applyAlignment="1">
      <alignment horizontal="center" vertical="center"/>
    </xf>
    <xf numFmtId="3" fontId="2" fillId="25" borderId="12" xfId="55" applyNumberFormat="1" applyFont="1" applyFill="1" applyBorder="1" applyAlignment="1" applyProtection="1">
      <alignment horizontal="center" vertical="center"/>
    </xf>
    <xf numFmtId="3" fontId="2" fillId="26" borderId="0" xfId="55" applyNumberFormat="1" applyFont="1" applyFill="1" applyBorder="1" applyAlignment="1" applyProtection="1">
      <alignment horizontal="center" vertical="center"/>
    </xf>
    <xf numFmtId="0" fontId="32" fillId="26" borderId="0" xfId="51" applyFont="1" applyFill="1" applyAlignment="1">
      <alignment horizontal="center" vertical="center" wrapText="1"/>
    </xf>
    <xf numFmtId="4" fontId="32" fillId="26" borderId="0" xfId="51" applyNumberFormat="1" applyFont="1" applyFill="1" applyAlignment="1">
      <alignment vertical="center"/>
    </xf>
    <xf numFmtId="0" fontId="33" fillId="27" borderId="18" xfId="51" applyFont="1" applyFill="1" applyBorder="1" applyAlignment="1">
      <alignment horizontal="left" vertical="center"/>
    </xf>
    <xf numFmtId="0" fontId="33" fillId="27" borderId="18" xfId="51" applyFont="1" applyFill="1" applyBorder="1" applyAlignment="1">
      <alignment vertical="center" wrapText="1"/>
    </xf>
    <xf numFmtId="1" fontId="32" fillId="26" borderId="0" xfId="51" applyNumberFormat="1" applyFont="1" applyFill="1" applyAlignment="1">
      <alignment vertical="center"/>
    </xf>
    <xf numFmtId="2" fontId="2" fillId="25" borderId="12" xfId="51" applyNumberFormat="1" applyFont="1" applyFill="1" applyBorder="1" applyAlignment="1">
      <alignment horizontal="center" vertical="center"/>
    </xf>
    <xf numFmtId="0" fontId="1" fillId="28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23" xfId="51" applyFont="1" applyFill="1" applyBorder="1" applyAlignment="1">
      <alignment horizontal="center" vertical="center"/>
    </xf>
    <xf numFmtId="0" fontId="32" fillId="25" borderId="16" xfId="51" applyFont="1" applyFill="1" applyBorder="1" applyAlignment="1">
      <alignment horizontal="center" vertical="center"/>
    </xf>
    <xf numFmtId="0" fontId="32" fillId="25" borderId="12" xfId="51" applyFont="1" applyFill="1" applyBorder="1" applyAlignment="1">
      <alignment horizontal="center" vertical="center" wrapText="1"/>
    </xf>
    <xf numFmtId="0" fontId="32" fillId="26" borderId="0" xfId="0" applyFont="1" applyFill="1" applyAlignment="1">
      <alignment vertical="center"/>
    </xf>
    <xf numFmtId="0" fontId="2" fillId="32" borderId="12" xfId="51" applyFont="1" applyFill="1" applyBorder="1" applyAlignment="1">
      <alignment horizontal="center" vertical="center"/>
    </xf>
    <xf numFmtId="0" fontId="2" fillId="26" borderId="0" xfId="0" applyFont="1" applyFill="1" applyAlignment="1">
      <alignment vertical="center"/>
    </xf>
    <xf numFmtId="0" fontId="37" fillId="26" borderId="0" xfId="0" applyFont="1" applyFill="1" applyAlignment="1">
      <alignment horizontal="center" vertical="center"/>
    </xf>
    <xf numFmtId="0" fontId="37" fillId="26" borderId="0" xfId="0" applyFont="1" applyFill="1" applyAlignment="1">
      <alignment horizontal="center" vertical="center" wrapText="1"/>
    </xf>
    <xf numFmtId="0" fontId="33" fillId="26" borderId="0" xfId="0" applyFont="1" applyFill="1" applyAlignment="1">
      <alignment horizontal="center" vertical="center" wrapText="1"/>
    </xf>
    <xf numFmtId="0" fontId="32" fillId="0" borderId="0" xfId="51" applyFont="1" applyAlignment="1">
      <alignment vertical="center"/>
    </xf>
    <xf numFmtId="0" fontId="2" fillId="32" borderId="12" xfId="52" applyFont="1" applyFill="1" applyBorder="1" applyAlignment="1">
      <alignment horizontal="center" vertical="center"/>
    </xf>
    <xf numFmtId="0" fontId="2" fillId="32" borderId="23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horizontal="left" vertical="center" indent="1"/>
    </xf>
    <xf numFmtId="0" fontId="2" fillId="32" borderId="14" xfId="51" applyFont="1" applyFill="1" applyBorder="1" applyAlignment="1">
      <alignment vertical="center"/>
    </xf>
    <xf numFmtId="0" fontId="2" fillId="32" borderId="15" xfId="51" applyFont="1" applyFill="1" applyBorder="1" applyAlignment="1">
      <alignment vertical="center"/>
    </xf>
    <xf numFmtId="0" fontId="2" fillId="32" borderId="14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center" vertical="center"/>
    </xf>
    <xf numFmtId="0" fontId="2" fillId="32" borderId="15" xfId="51" applyFont="1" applyFill="1" applyBorder="1" applyAlignment="1">
      <alignment horizontal="left" vertical="center" indent="1"/>
    </xf>
    <xf numFmtId="0" fontId="32" fillId="25" borderId="12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indent="1"/>
    </xf>
    <xf numFmtId="0" fontId="32" fillId="26" borderId="0" xfId="51" applyFont="1" applyFill="1" applyAlignment="1">
      <alignment horizontal="left" vertical="center" indent="1"/>
    </xf>
    <xf numFmtId="0" fontId="2" fillId="25" borderId="12" xfId="51" applyFont="1" applyFill="1" applyBorder="1" applyAlignment="1">
      <alignment horizontal="left" vertical="center" wrapText="1" indent="1"/>
    </xf>
    <xf numFmtId="0" fontId="2" fillId="32" borderId="13" xfId="53" applyFont="1" applyFill="1" applyBorder="1" applyAlignment="1">
      <alignment horizontal="center" vertical="center" wrapText="1"/>
    </xf>
    <xf numFmtId="0" fontId="32" fillId="26" borderId="0" xfId="53" applyFont="1" applyFill="1" applyAlignment="1">
      <alignment horizontal="center" vertical="center"/>
    </xf>
    <xf numFmtId="0" fontId="32" fillId="26" borderId="0" xfId="53" applyFont="1" applyFill="1" applyAlignment="1">
      <alignment vertical="center" wrapText="1"/>
    </xf>
    <xf numFmtId="0" fontId="32" fillId="26" borderId="0" xfId="53" applyFont="1" applyFill="1" applyAlignment="1">
      <alignment vertical="center"/>
    </xf>
    <xf numFmtId="0" fontId="38" fillId="26" borderId="0" xfId="53" applyFont="1" applyFill="1" applyAlignment="1">
      <alignment vertical="center"/>
    </xf>
    <xf numFmtId="0" fontId="39" fillId="26" borderId="0" xfId="53" applyFont="1" applyFill="1" applyAlignment="1">
      <alignment vertical="center"/>
    </xf>
    <xf numFmtId="0" fontId="2" fillId="32" borderId="12" xfId="0" applyFont="1" applyFill="1" applyBorder="1" applyAlignment="1">
      <alignment horizontal="center" vertical="center" wrapText="1"/>
    </xf>
    <xf numFmtId="0" fontId="2" fillId="32" borderId="12" xfId="0" applyFont="1" applyFill="1" applyBorder="1" applyAlignment="1">
      <alignment horizontal="center" vertical="center"/>
    </xf>
    <xf numFmtId="1" fontId="2" fillId="28" borderId="12" xfId="0" applyNumberFormat="1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33" fillId="26" borderId="0" xfId="0" applyFont="1" applyFill="1" applyAlignment="1">
      <alignment vertical="center"/>
    </xf>
    <xf numFmtId="0" fontId="32" fillId="26" borderId="0" xfId="0" applyFont="1" applyFill="1" applyAlignment="1">
      <alignment horizontal="center" vertical="center"/>
    </xf>
    <xf numFmtId="0" fontId="2" fillId="28" borderId="12" xfId="51" applyFont="1" applyFill="1" applyBorder="1" applyAlignment="1">
      <alignment horizontal="center" vertical="center" wrapText="1"/>
    </xf>
    <xf numFmtId="0" fontId="40" fillId="26" borderId="0" xfId="53" applyFont="1" applyFill="1" applyAlignment="1">
      <alignment vertical="center"/>
    </xf>
    <xf numFmtId="0" fontId="2" fillId="32" borderId="12" xfId="53" applyFont="1" applyFill="1" applyBorder="1" applyAlignment="1">
      <alignment horizontal="center" vertical="center" wrapText="1"/>
    </xf>
    <xf numFmtId="0" fontId="2" fillId="32" borderId="23" xfId="53" applyFont="1" applyFill="1" applyBorder="1" applyAlignment="1">
      <alignment horizontal="center" vertical="center" wrapText="1"/>
    </xf>
    <xf numFmtId="0" fontId="2" fillId="32" borderId="12" xfId="53" applyFont="1" applyFill="1" applyBorder="1" applyAlignment="1">
      <alignment horizontal="center" vertical="center"/>
    </xf>
    <xf numFmtId="0" fontId="2" fillId="26" borderId="0" xfId="53" applyFont="1" applyFill="1" applyAlignment="1">
      <alignment vertical="center"/>
    </xf>
    <xf numFmtId="166" fontId="2" fillId="28" borderId="21" xfId="53" applyNumberFormat="1" applyFont="1" applyFill="1" applyBorder="1" applyAlignment="1">
      <alignment horizontal="center" vertical="center"/>
    </xf>
    <xf numFmtId="166" fontId="2" fillId="28" borderId="23" xfId="53" applyNumberFormat="1" applyFont="1" applyFill="1" applyBorder="1" applyAlignment="1">
      <alignment horizontal="left" vertical="center" wrapText="1" indent="1"/>
    </xf>
    <xf numFmtId="166" fontId="2" fillId="26" borderId="0" xfId="53" applyNumberFormat="1" applyFont="1" applyFill="1" applyAlignment="1">
      <alignment vertical="center"/>
    </xf>
    <xf numFmtId="166" fontId="2" fillId="28" borderId="12" xfId="53" applyNumberFormat="1" applyFont="1" applyFill="1" applyBorder="1" applyAlignment="1">
      <alignment horizontal="center" vertical="center"/>
    </xf>
    <xf numFmtId="166" fontId="32" fillId="28" borderId="12" xfId="53" applyNumberFormat="1" applyFont="1" applyFill="1" applyBorder="1" applyAlignment="1">
      <alignment horizontal="center" vertical="center"/>
    </xf>
    <xf numFmtId="166" fontId="32" fillId="28" borderId="23" xfId="53" applyNumberFormat="1" applyFont="1" applyFill="1" applyBorder="1" applyAlignment="1">
      <alignment horizontal="left" vertical="center" wrapText="1" indent="1"/>
    </xf>
    <xf numFmtId="166" fontId="32" fillId="28" borderId="21" xfId="53" applyNumberFormat="1" applyFont="1" applyFill="1" applyBorder="1" applyAlignment="1">
      <alignment horizontal="center" vertical="center"/>
    </xf>
    <xf numFmtId="166" fontId="32" fillId="26" borderId="0" xfId="53" applyNumberFormat="1" applyFont="1" applyFill="1" applyAlignment="1">
      <alignment vertical="center"/>
    </xf>
    <xf numFmtId="0" fontId="2" fillId="32" borderId="16" xfId="53" applyFont="1" applyFill="1" applyBorder="1" applyAlignment="1">
      <alignment horizontal="center" vertical="center" wrapText="1"/>
    </xf>
    <xf numFmtId="0" fontId="2" fillId="28" borderId="12" xfId="53" applyFont="1" applyFill="1" applyBorder="1" applyAlignment="1">
      <alignment horizontal="center" vertical="center"/>
    </xf>
    <xf numFmtId="0" fontId="2" fillId="28" borderId="12" xfId="53" applyFont="1" applyFill="1" applyBorder="1" applyAlignment="1">
      <alignment horizontal="left" vertical="center" wrapText="1" indent="1"/>
    </xf>
    <xf numFmtId="0" fontId="32" fillId="28" borderId="12" xfId="53" applyFont="1" applyFill="1" applyBorder="1" applyAlignment="1">
      <alignment horizontal="center" vertical="center"/>
    </xf>
    <xf numFmtId="0" fontId="32" fillId="28" borderId="12" xfId="53" applyFont="1" applyFill="1" applyBorder="1" applyAlignment="1">
      <alignment horizontal="left" vertical="center" wrapText="1" indent="1"/>
    </xf>
    <xf numFmtId="166" fontId="2" fillId="28" borderId="12" xfId="53" applyNumberFormat="1" applyFont="1" applyFill="1" applyBorder="1" applyAlignment="1">
      <alignment horizontal="left" vertical="center" wrapText="1" indent="1"/>
    </xf>
    <xf numFmtId="166" fontId="32" fillId="28" borderId="12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 wrapText="1"/>
    </xf>
    <xf numFmtId="166" fontId="2" fillId="25" borderId="17" xfId="53" applyNumberFormat="1" applyFont="1" applyFill="1" applyBorder="1" applyAlignment="1">
      <alignment horizontal="left" vertical="center" wrapText="1" indent="1"/>
    </xf>
    <xf numFmtId="166" fontId="2" fillId="25" borderId="21" xfId="53" applyNumberFormat="1" applyFont="1" applyFill="1" applyBorder="1" applyAlignment="1">
      <alignment horizontal="center" vertical="center"/>
    </xf>
    <xf numFmtId="166" fontId="2" fillId="25" borderId="12" xfId="53" applyNumberFormat="1" applyFont="1" applyFill="1" applyBorder="1" applyAlignment="1">
      <alignment horizontal="center" vertical="center" wrapText="1"/>
    </xf>
    <xf numFmtId="166" fontId="2" fillId="25" borderId="23" xfId="53" applyNumberFormat="1" applyFont="1" applyFill="1" applyBorder="1" applyAlignment="1">
      <alignment horizontal="left" vertical="center" wrapText="1" indent="1"/>
    </xf>
    <xf numFmtId="166" fontId="32" fillId="25" borderId="12" xfId="53" applyNumberFormat="1" applyFont="1" applyFill="1" applyBorder="1" applyAlignment="1">
      <alignment horizontal="center" vertical="center" wrapText="1"/>
    </xf>
    <xf numFmtId="166" fontId="32" fillId="25" borderId="23" xfId="53" applyNumberFormat="1" applyFont="1" applyFill="1" applyBorder="1" applyAlignment="1">
      <alignment horizontal="left" vertical="center" wrapText="1" indent="1"/>
    </xf>
    <xf numFmtId="166" fontId="32" fillId="25" borderId="21" xfId="53" applyNumberFormat="1" applyFont="1" applyFill="1" applyBorder="1" applyAlignment="1">
      <alignment horizontal="center" vertical="center"/>
    </xf>
    <xf numFmtId="0" fontId="2" fillId="26" borderId="0" xfId="53" applyFont="1" applyFill="1" applyAlignment="1">
      <alignment horizontal="center" vertical="center"/>
    </xf>
    <xf numFmtId="166" fontId="32" fillId="25" borderId="12" xfId="53" applyNumberFormat="1" applyFont="1" applyFill="1" applyBorder="1" applyAlignment="1">
      <alignment horizontal="center" vertical="center"/>
    </xf>
    <xf numFmtId="166" fontId="32" fillId="25" borderId="12" xfId="53" applyNumberFormat="1" applyFont="1" applyFill="1" applyBorder="1" applyAlignment="1">
      <alignment vertical="center"/>
    </xf>
    <xf numFmtId="166" fontId="32" fillId="25" borderId="31" xfId="53" applyNumberFormat="1" applyFont="1" applyFill="1" applyBorder="1" applyAlignment="1">
      <alignment vertical="center"/>
    </xf>
    <xf numFmtId="4" fontId="32" fillId="25" borderId="21" xfId="55" applyNumberFormat="1" applyFont="1" applyFill="1" applyBorder="1" applyAlignment="1" applyProtection="1">
      <alignment horizontal="right" vertical="center" indent="1"/>
    </xf>
    <xf numFmtId="4" fontId="32" fillId="25" borderId="13" xfId="55" applyNumberFormat="1" applyFont="1" applyFill="1" applyBorder="1" applyAlignment="1" applyProtection="1">
      <alignment horizontal="right" vertical="center" indent="1"/>
    </xf>
    <xf numFmtId="10" fontId="32" fillId="25" borderId="14" xfId="55" applyNumberFormat="1" applyFont="1" applyFill="1" applyBorder="1" applyAlignment="1" applyProtection="1">
      <alignment horizontal="right" vertical="center" indent="1"/>
    </xf>
    <xf numFmtId="10" fontId="32" fillId="25" borderId="15" xfId="55" applyNumberFormat="1" applyFont="1" applyFill="1" applyBorder="1" applyAlignment="1" applyProtection="1">
      <alignment horizontal="right" vertical="center" indent="1"/>
    </xf>
    <xf numFmtId="3" fontId="32" fillId="25" borderId="21" xfId="55" applyNumberFormat="1" applyFont="1" applyFill="1" applyBorder="1" applyAlignment="1" applyProtection="1">
      <alignment horizontal="right" vertical="center" indent="1"/>
    </xf>
    <xf numFmtId="3" fontId="32" fillId="25" borderId="12" xfId="51" applyNumberFormat="1" applyFont="1" applyFill="1" applyBorder="1" applyAlignment="1">
      <alignment horizontal="right" vertical="center" indent="1"/>
    </xf>
    <xf numFmtId="4" fontId="32" fillId="25" borderId="12" xfId="55" applyNumberFormat="1" applyFont="1" applyFill="1" applyBorder="1" applyAlignment="1" applyProtection="1">
      <alignment horizontal="right" vertical="center" indent="1"/>
    </xf>
    <xf numFmtId="0" fontId="32" fillId="25" borderId="12" xfId="51" quotePrefix="1" applyFont="1" applyFill="1" applyBorder="1" applyAlignment="1">
      <alignment horizontal="right" vertical="center" indent="1"/>
    </xf>
    <xf numFmtId="1" fontId="2" fillId="25" borderId="12" xfId="51" applyNumberFormat="1" applyFont="1" applyFill="1" applyBorder="1" applyAlignment="1">
      <alignment horizontal="right" vertical="center" indent="1"/>
    </xf>
    <xf numFmtId="10" fontId="32" fillId="25" borderId="21" xfId="55" applyNumberFormat="1" applyFont="1" applyFill="1" applyBorder="1" applyAlignment="1" applyProtection="1">
      <alignment horizontal="right" vertical="center" indent="1"/>
    </xf>
    <xf numFmtId="10" fontId="32" fillId="25" borderId="13" xfId="55" applyNumberFormat="1" applyFont="1" applyFill="1" applyBorder="1" applyAlignment="1" applyProtection="1">
      <alignment horizontal="right" vertical="center" indent="1"/>
    </xf>
    <xf numFmtId="165" fontId="32" fillId="25" borderId="12" xfId="55" applyNumberFormat="1" applyFont="1" applyFill="1" applyBorder="1" applyAlignment="1" applyProtection="1">
      <alignment horizontal="right" vertical="center" indent="1"/>
    </xf>
    <xf numFmtId="4" fontId="32" fillId="25" borderId="12" xfId="51" applyNumberFormat="1" applyFont="1" applyFill="1" applyBorder="1" applyAlignment="1">
      <alignment horizontal="right" vertical="center" indent="1"/>
    </xf>
    <xf numFmtId="3" fontId="32" fillId="25" borderId="12" xfId="51" applyNumberFormat="1" applyFont="1" applyFill="1" applyBorder="1" applyAlignment="1">
      <alignment horizontal="right" indent="1"/>
    </xf>
    <xf numFmtId="4" fontId="2" fillId="25" borderId="12" xfId="51" applyNumberFormat="1" applyFont="1" applyFill="1" applyBorder="1" applyAlignment="1">
      <alignment horizontal="right" vertical="center" indent="1"/>
    </xf>
    <xf numFmtId="0" fontId="2" fillId="26" borderId="0" xfId="51" applyFont="1" applyFill="1" applyAlignment="1">
      <alignment horizontal="right" vertical="center" indent="1"/>
    </xf>
    <xf numFmtId="2" fontId="32" fillId="25" borderId="12" xfId="51" applyNumberFormat="1" applyFont="1" applyFill="1" applyBorder="1" applyAlignment="1">
      <alignment horizontal="right" vertical="center" indent="1"/>
    </xf>
    <xf numFmtId="2" fontId="2" fillId="25" borderId="12" xfId="51" applyNumberFormat="1" applyFont="1" applyFill="1" applyBorder="1" applyAlignment="1">
      <alignment horizontal="right" vertical="center" indent="1"/>
    </xf>
    <xf numFmtId="10" fontId="32" fillId="25" borderId="12" xfId="55" applyNumberFormat="1" applyFont="1" applyFill="1" applyBorder="1" applyAlignment="1" applyProtection="1">
      <alignment horizontal="right" vertical="center" indent="1"/>
    </xf>
    <xf numFmtId="172" fontId="32" fillId="28" borderId="12" xfId="55" applyNumberFormat="1" applyFont="1" applyFill="1" applyBorder="1" applyAlignment="1" applyProtection="1">
      <alignment horizontal="right" vertical="center" indent="1"/>
    </xf>
    <xf numFmtId="14" fontId="32" fillId="28" borderId="12" xfId="51" applyNumberFormat="1" applyFont="1" applyFill="1" applyBorder="1" applyAlignment="1">
      <alignment horizontal="right" vertical="center" indent="1"/>
    </xf>
    <xf numFmtId="4" fontId="32" fillId="25" borderId="13" xfId="51" applyNumberFormat="1" applyFont="1" applyFill="1" applyBorder="1" applyAlignment="1">
      <alignment horizontal="right" vertical="center" indent="1"/>
    </xf>
    <xf numFmtId="1" fontId="32" fillId="25" borderId="21" xfId="51" applyNumberFormat="1" applyFont="1" applyFill="1" applyBorder="1" applyAlignment="1">
      <alignment horizontal="right" vertical="center" indent="1"/>
    </xf>
    <xf numFmtId="1" fontId="32" fillId="25" borderId="12" xfId="51" applyNumberFormat="1" applyFont="1" applyFill="1" applyBorder="1" applyAlignment="1">
      <alignment horizontal="right" vertical="center" indent="1"/>
    </xf>
    <xf numFmtId="166" fontId="32" fillId="25" borderId="12" xfId="51" applyNumberFormat="1" applyFont="1" applyFill="1" applyBorder="1" applyAlignment="1">
      <alignment horizontal="right" vertical="center" indent="1"/>
    </xf>
    <xf numFmtId="172" fontId="32" fillId="28" borderId="12" xfId="55" quotePrefix="1" applyNumberFormat="1" applyFont="1" applyFill="1" applyBorder="1" applyAlignment="1" applyProtection="1">
      <alignment horizontal="right" vertical="center" indent="1"/>
    </xf>
    <xf numFmtId="3" fontId="32" fillId="25" borderId="26" xfId="55" applyNumberFormat="1" applyFont="1" applyFill="1" applyBorder="1" applyAlignment="1">
      <alignment horizontal="center" vertical="center"/>
    </xf>
    <xf numFmtId="3" fontId="32" fillId="25" borderId="21" xfId="55" applyNumberFormat="1" applyFont="1" applyFill="1" applyBorder="1" applyAlignment="1">
      <alignment horizontal="right" vertical="center" indent="1"/>
    </xf>
    <xf numFmtId="10" fontId="32" fillId="25" borderId="26" xfId="55" applyNumberFormat="1" applyFont="1" applyFill="1" applyBorder="1" applyAlignment="1">
      <alignment horizontal="center" vertical="center"/>
    </xf>
    <xf numFmtId="4" fontId="32" fillId="25" borderId="21" xfId="55" applyNumberFormat="1" applyFont="1" applyFill="1" applyBorder="1" applyAlignment="1">
      <alignment horizontal="right" vertical="center" indent="1"/>
    </xf>
    <xf numFmtId="3" fontId="32" fillId="25" borderId="12" xfId="55" applyNumberFormat="1" applyFont="1" applyFill="1" applyBorder="1" applyAlignment="1">
      <alignment horizontal="center" vertical="center"/>
    </xf>
    <xf numFmtId="4" fontId="32" fillId="25" borderId="13" xfId="55" applyNumberFormat="1" applyFont="1" applyFill="1" applyBorder="1" applyAlignment="1">
      <alignment horizontal="right" vertical="center" indent="1"/>
    </xf>
    <xf numFmtId="4" fontId="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1" applyNumberFormat="1" applyFont="1" applyFill="1" applyBorder="1" applyAlignment="1" applyProtection="1">
      <alignment vertical="center"/>
      <protection locked="0"/>
    </xf>
    <xf numFmtId="4" fontId="32" fillId="31" borderId="12" xfId="53" applyNumberFormat="1" applyFont="1" applyFill="1" applyBorder="1" applyAlignment="1" applyProtection="1">
      <alignment vertical="center"/>
      <protection locked="0"/>
    </xf>
    <xf numFmtId="4" fontId="2" fillId="31" borderId="12" xfId="53" applyNumberFormat="1" applyFont="1" applyFill="1" applyBorder="1" applyAlignment="1" applyProtection="1">
      <alignment vertical="center"/>
      <protection locked="0"/>
    </xf>
    <xf numFmtId="4" fontId="32" fillId="28" borderId="12" xfId="51" applyNumberFormat="1" applyFont="1" applyFill="1" applyBorder="1" applyAlignment="1">
      <alignment vertical="center"/>
    </xf>
    <xf numFmtId="166" fontId="32" fillId="26" borderId="0" xfId="53" applyNumberFormat="1" applyFont="1" applyFill="1" applyAlignment="1">
      <alignment horizontal="center" vertical="center"/>
    </xf>
    <xf numFmtId="0" fontId="2" fillId="28" borderId="21" xfId="53" applyFont="1" applyFill="1" applyBorder="1" applyAlignment="1">
      <alignment horizontal="center" vertical="center"/>
    </xf>
    <xf numFmtId="10" fontId="2" fillId="28" borderId="21" xfId="55" applyNumberFormat="1" applyFont="1" applyFill="1" applyBorder="1" applyAlignment="1">
      <alignment horizontal="center" vertical="center"/>
    </xf>
    <xf numFmtId="0" fontId="39" fillId="26" borderId="0" xfId="0" applyFont="1" applyFill="1" applyAlignment="1">
      <alignment vertical="center"/>
    </xf>
    <xf numFmtId="0" fontId="2" fillId="28" borderId="12" xfId="0" applyFont="1" applyFill="1" applyBorder="1" applyAlignment="1" applyProtection="1">
      <alignment horizontal="center" vertical="center" wrapText="1"/>
      <protection locked="0"/>
    </xf>
    <xf numFmtId="0" fontId="32" fillId="28" borderId="12" xfId="53" applyFont="1" applyFill="1" applyBorder="1" applyAlignment="1">
      <alignment horizontal="left" vertical="center" indent="1"/>
    </xf>
    <xf numFmtId="0" fontId="2" fillId="33" borderId="12" xfId="5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32" fillId="28" borderId="12" xfId="53" applyNumberFormat="1" applyFont="1" applyFill="1" applyBorder="1" applyAlignment="1">
      <alignment horizontal="right" vertical="center" indent="1"/>
    </xf>
    <xf numFmtId="10" fontId="32" fillId="28" borderId="12" xfId="55" applyNumberFormat="1" applyFont="1" applyFill="1" applyBorder="1" applyAlignment="1">
      <alignment horizontal="right" vertical="center" indent="1"/>
    </xf>
    <xf numFmtId="166" fontId="32" fillId="28" borderId="12" xfId="53" applyNumberFormat="1" applyFont="1" applyFill="1" applyBorder="1" applyAlignment="1">
      <alignment horizontal="right" vertical="center" indent="1"/>
    </xf>
    <xf numFmtId="173" fontId="32" fillId="28" borderId="12" xfId="53" applyNumberFormat="1" applyFont="1" applyFill="1" applyBorder="1" applyAlignment="1">
      <alignment horizontal="right" vertical="center" indent="1"/>
    </xf>
    <xf numFmtId="172" fontId="32" fillId="28" borderId="12" xfId="55" applyNumberFormat="1" applyFont="1" applyFill="1" applyBorder="1" applyAlignment="1">
      <alignment horizontal="right" vertical="center" indent="1"/>
    </xf>
    <xf numFmtId="10" fontId="32" fillId="28" borderId="12" xfId="55" applyNumberFormat="1" applyFont="1" applyFill="1" applyBorder="1" applyAlignment="1" applyProtection="1">
      <alignment horizontal="right" vertical="center" indent="1"/>
      <protection locked="0"/>
    </xf>
    <xf numFmtId="0" fontId="32" fillId="0" borderId="0" xfId="53" applyFont="1" applyFill="1" applyAlignment="1">
      <alignment vertical="center"/>
    </xf>
    <xf numFmtId="0" fontId="32" fillId="26" borderId="0" xfId="53" applyFont="1" applyFill="1" applyAlignment="1"/>
    <xf numFmtId="0" fontId="0" fillId="0" borderId="0" xfId="0" applyAlignment="1"/>
    <xf numFmtId="0" fontId="32" fillId="0" borderId="0" xfId="53" applyFont="1" applyFill="1" applyAlignment="1"/>
    <xf numFmtId="0" fontId="32" fillId="0" borderId="0" xfId="53" applyFont="1" applyFill="1" applyAlignment="1">
      <alignment horizontal="left" vertical="top" wrapText="1"/>
    </xf>
    <xf numFmtId="0" fontId="32" fillId="0" borderId="0" xfId="53" applyFont="1" applyFill="1" applyAlignment="1">
      <alignment horizontal="left" vertical="top"/>
    </xf>
    <xf numFmtId="0" fontId="0" fillId="26" borderId="0" xfId="0" applyFill="1" applyAlignment="1">
      <alignment vertical="center"/>
    </xf>
    <xf numFmtId="0" fontId="1" fillId="28" borderId="24" xfId="0" applyFont="1" applyFill="1" applyBorder="1" applyAlignment="1">
      <alignment horizontal="left" wrapText="1"/>
    </xf>
    <xf numFmtId="0" fontId="1" fillId="28" borderId="26" xfId="0" applyFont="1" applyFill="1" applyBorder="1" applyAlignment="1">
      <alignment horizontal="left" wrapText="1"/>
    </xf>
    <xf numFmtId="0" fontId="1" fillId="28" borderId="18" xfId="0" applyFont="1" applyFill="1" applyBorder="1" applyAlignment="1">
      <alignment horizontal="left" vertical="center" wrapText="1"/>
    </xf>
    <xf numFmtId="0" fontId="1" fillId="28" borderId="19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vertical="center" wrapText="1"/>
    </xf>
    <xf numFmtId="0" fontId="1" fillId="28" borderId="27" xfId="0" applyFont="1" applyFill="1" applyBorder="1" applyAlignment="1">
      <alignment horizontal="left" vertical="center" wrapText="1"/>
    </xf>
    <xf numFmtId="0" fontId="1" fillId="28" borderId="0" xfId="0" applyFont="1" applyFill="1" applyAlignment="1">
      <alignment horizontal="left" wrapText="1"/>
    </xf>
    <xf numFmtId="0" fontId="1" fillId="28" borderId="27" xfId="0" applyFont="1" applyFill="1" applyBorder="1" applyAlignment="1">
      <alignment horizontal="left" wrapText="1"/>
    </xf>
    <xf numFmtId="0" fontId="2" fillId="28" borderId="12" xfId="0" applyFont="1" applyFill="1" applyBorder="1" applyAlignment="1">
      <alignment horizontal="left" vertical="center" wrapText="1" indent="1"/>
    </xf>
    <xf numFmtId="0" fontId="2" fillId="30" borderId="12" xfId="0" applyFont="1" applyFill="1" applyBorder="1" applyAlignment="1" applyProtection="1">
      <alignment horizontal="left" vertical="center" wrapText="1" indent="1"/>
      <protection locked="0"/>
    </xf>
    <xf numFmtId="0" fontId="2" fillId="28" borderId="23" xfId="51" applyFont="1" applyFill="1" applyBorder="1" applyAlignment="1">
      <alignment horizontal="left" vertical="center" indent="1"/>
    </xf>
    <xf numFmtId="0" fontId="2" fillId="28" borderId="15" xfId="51" applyFont="1" applyFill="1" applyBorder="1" applyAlignment="1">
      <alignment horizontal="left" vertical="center" indent="1"/>
    </xf>
    <xf numFmtId="0" fontId="2" fillId="28" borderId="23" xfId="51" applyFont="1" applyFill="1" applyBorder="1" applyAlignment="1">
      <alignment horizontal="left" vertical="center" wrapText="1" indent="1"/>
    </xf>
    <xf numFmtId="0" fontId="2" fillId="28" borderId="15" xfId="51" applyFont="1" applyFill="1" applyBorder="1" applyAlignment="1">
      <alignment horizontal="left" vertical="center" wrapText="1" indent="1"/>
    </xf>
    <xf numFmtId="0" fontId="2" fillId="28" borderId="23" xfId="0" applyFont="1" applyFill="1" applyBorder="1" applyAlignment="1">
      <alignment horizontal="left" vertical="center" wrapText="1" indent="1"/>
    </xf>
    <xf numFmtId="0" fontId="2" fillId="28" borderId="14" xfId="0" applyFont="1" applyFill="1" applyBorder="1" applyAlignment="1">
      <alignment horizontal="left" vertical="center" wrapText="1" indent="1"/>
    </xf>
    <xf numFmtId="0" fontId="2" fillId="28" borderId="15" xfId="0" applyFont="1" applyFill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/>
    </xf>
    <xf numFmtId="0" fontId="2" fillId="32" borderId="14" xfId="51" applyFont="1" applyFill="1" applyBorder="1" applyAlignment="1">
      <alignment horizontal="center" vertical="center"/>
    </xf>
    <xf numFmtId="0" fontId="2" fillId="28" borderId="14" xfId="51" applyFont="1" applyFill="1" applyBorder="1" applyAlignment="1">
      <alignment horizontal="left" vertical="center" wrapText="1" indent="1"/>
    </xf>
    <xf numFmtId="0" fontId="2" fillId="32" borderId="12" xfId="52" applyFont="1" applyFill="1" applyBorder="1" applyAlignment="1">
      <alignment horizontal="center" vertical="center" wrapText="1"/>
    </xf>
    <xf numFmtId="0" fontId="2" fillId="28" borderId="12" xfId="51" applyFont="1" applyFill="1" applyBorder="1" applyAlignment="1">
      <alignment horizontal="left" vertical="center" wrapText="1" indent="1"/>
    </xf>
    <xf numFmtId="0" fontId="2" fillId="32" borderId="15" xfId="51" applyFont="1" applyFill="1" applyBorder="1" applyAlignment="1">
      <alignment horizontal="center" vertical="center"/>
    </xf>
    <xf numFmtId="0" fontId="33" fillId="0" borderId="18" xfId="51" applyFont="1" applyBorder="1" applyAlignment="1">
      <alignment horizontal="left" vertical="center" wrapText="1" indent="1"/>
    </xf>
    <xf numFmtId="0" fontId="2" fillId="32" borderId="23" xfId="51" applyFont="1" applyFill="1" applyBorder="1" applyAlignment="1">
      <alignment horizontal="center" vertical="center" wrapText="1"/>
    </xf>
    <xf numFmtId="0" fontId="2" fillId="32" borderId="14" xfId="51" applyFont="1" applyFill="1" applyBorder="1" applyAlignment="1">
      <alignment horizontal="center" vertical="center" wrapText="1"/>
    </xf>
    <xf numFmtId="0" fontId="32" fillId="0" borderId="16" xfId="51" applyFont="1" applyBorder="1" applyAlignment="1">
      <alignment horizontal="left" vertical="center" indent="1"/>
    </xf>
    <xf numFmtId="0" fontId="32" fillId="0" borderId="18" xfId="51" applyFont="1" applyBorder="1" applyAlignment="1">
      <alignment horizontal="left" vertical="center" indent="1"/>
    </xf>
    <xf numFmtId="0" fontId="32" fillId="0" borderId="19" xfId="51" applyFont="1" applyBorder="1" applyAlignment="1">
      <alignment horizontal="left" vertical="center" indent="1"/>
    </xf>
    <xf numFmtId="0" fontId="32" fillId="0" borderId="22" xfId="51" applyFont="1" applyBorder="1" applyAlignment="1">
      <alignment horizontal="left" indent="1"/>
    </xf>
    <xf numFmtId="0" fontId="32" fillId="0" borderId="0" xfId="51" applyFont="1" applyAlignment="1">
      <alignment horizontal="left" indent="1"/>
    </xf>
    <xf numFmtId="0" fontId="32" fillId="0" borderId="27" xfId="51" applyFont="1" applyBorder="1" applyAlignment="1">
      <alignment horizontal="left" indent="1"/>
    </xf>
    <xf numFmtId="0" fontId="32" fillId="0" borderId="17" xfId="51" applyFont="1" applyBorder="1" applyAlignment="1">
      <alignment horizontal="left" vertical="center" indent="1"/>
    </xf>
    <xf numFmtId="0" fontId="32" fillId="0" borderId="24" xfId="51" applyFont="1" applyBorder="1" applyAlignment="1">
      <alignment horizontal="left" vertical="center" indent="1"/>
    </xf>
    <xf numFmtId="0" fontId="32" fillId="0" borderId="26" xfId="51" applyFont="1" applyBorder="1" applyAlignment="1">
      <alignment horizontal="left" vertical="center" indent="1"/>
    </xf>
    <xf numFmtId="0" fontId="32" fillId="32" borderId="14" xfId="51" applyFont="1" applyFill="1" applyBorder="1" applyAlignment="1">
      <alignment horizontal="center" vertical="center"/>
    </xf>
    <xf numFmtId="0" fontId="32" fillId="25" borderId="23" xfId="51" applyFont="1" applyFill="1" applyBorder="1" applyAlignment="1">
      <alignment horizontal="center" vertical="center"/>
    </xf>
    <xf numFmtId="0" fontId="3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/>
    </xf>
    <xf numFmtId="0" fontId="2" fillId="25" borderId="15" xfId="51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left" vertical="center" wrapText="1" indent="1"/>
    </xf>
    <xf numFmtId="0" fontId="32" fillId="0" borderId="14" xfId="0" applyFont="1" applyBorder="1"/>
    <xf numFmtId="0" fontId="32" fillId="0" borderId="15" xfId="0" applyFont="1" applyBorder="1"/>
    <xf numFmtId="0" fontId="2" fillId="25" borderId="23" xfId="51" applyFont="1" applyFill="1" applyBorder="1" applyAlignment="1">
      <alignment horizontal="left" vertical="center" indent="1"/>
    </xf>
    <xf numFmtId="0" fontId="2" fillId="25" borderId="14" xfId="51" applyFont="1" applyFill="1" applyBorder="1" applyAlignment="1">
      <alignment horizontal="left" vertical="center" indent="1"/>
    </xf>
    <xf numFmtId="0" fontId="2" fillId="25" borderId="15" xfId="51" applyFont="1" applyFill="1" applyBorder="1" applyAlignment="1">
      <alignment horizontal="left" vertical="center" indent="1"/>
    </xf>
    <xf numFmtId="0" fontId="2" fillId="25" borderId="17" xfId="51" applyFont="1" applyFill="1" applyBorder="1" applyAlignment="1">
      <alignment horizontal="left" vertical="center" wrapText="1" indent="1"/>
    </xf>
    <xf numFmtId="0" fontId="2" fillId="25" borderId="24" xfId="51" applyFont="1" applyFill="1" applyBorder="1" applyAlignment="1">
      <alignment horizontal="left" vertical="center" wrapText="1" indent="1"/>
    </xf>
    <xf numFmtId="0" fontId="2" fillId="25" borderId="14" xfId="51" applyFont="1" applyFill="1" applyBorder="1" applyAlignment="1">
      <alignment horizontal="left" vertical="center" wrapText="1" indent="1"/>
    </xf>
    <xf numFmtId="0" fontId="2" fillId="25" borderId="15" xfId="51" applyFont="1" applyFill="1" applyBorder="1" applyAlignment="1">
      <alignment horizontal="left" vertical="center" wrapText="1" indent="1"/>
    </xf>
    <xf numFmtId="0" fontId="32" fillId="25" borderId="12" xfId="51" applyFont="1" applyFill="1" applyBorder="1" applyAlignment="1">
      <alignment horizontal="center" vertical="center" wrapText="1"/>
    </xf>
    <xf numFmtId="0" fontId="2" fillId="32" borderId="23" xfId="52" applyFont="1" applyFill="1" applyBorder="1" applyAlignment="1">
      <alignment horizontal="center" vertical="center"/>
    </xf>
    <xf numFmtId="0" fontId="2" fillId="32" borderId="14" xfId="52" applyFont="1" applyFill="1" applyBorder="1" applyAlignment="1">
      <alignment horizontal="center" vertical="center"/>
    </xf>
    <xf numFmtId="0" fontId="2" fillId="32" borderId="15" xfId="52" applyFont="1" applyFill="1" applyBorder="1" applyAlignment="1">
      <alignment horizontal="center" vertical="center"/>
    </xf>
    <xf numFmtId="0" fontId="2" fillId="25" borderId="23" xfId="51" applyFont="1" applyFill="1" applyBorder="1" applyAlignment="1">
      <alignment horizontal="center" vertical="center" wrapText="1"/>
    </xf>
    <xf numFmtId="0" fontId="2" fillId="25" borderId="14" xfId="51" applyFont="1" applyFill="1" applyBorder="1" applyAlignment="1">
      <alignment horizontal="center" vertical="center" wrapText="1"/>
    </xf>
    <xf numFmtId="0" fontId="2" fillId="25" borderId="15" xfId="51" applyFont="1" applyFill="1" applyBorder="1" applyAlignment="1">
      <alignment horizontal="center" vertical="center" wrapText="1"/>
    </xf>
    <xf numFmtId="0" fontId="2" fillId="32" borderId="12" xfId="51" applyFont="1" applyFill="1" applyBorder="1" applyAlignment="1">
      <alignment horizontal="center" vertical="center"/>
    </xf>
    <xf numFmtId="0" fontId="32" fillId="25" borderId="13" xfId="51" applyFont="1" applyFill="1" applyBorder="1" applyAlignment="1">
      <alignment horizontal="left" vertical="center" wrapText="1" indent="1"/>
    </xf>
    <xf numFmtId="0" fontId="32" fillId="25" borderId="20" xfId="51" applyFont="1" applyFill="1" applyBorder="1" applyAlignment="1">
      <alignment horizontal="left" vertical="center" indent="1"/>
    </xf>
    <xf numFmtId="0" fontId="32" fillId="25" borderId="21" xfId="51" applyFont="1" applyFill="1" applyBorder="1" applyAlignment="1">
      <alignment horizontal="left" vertical="center" indent="1"/>
    </xf>
    <xf numFmtId="0" fontId="32" fillId="25" borderId="16" xfId="51" applyFont="1" applyFill="1" applyBorder="1" applyAlignment="1">
      <alignment vertical="center"/>
    </xf>
    <xf numFmtId="0" fontId="32" fillId="25" borderId="18" xfId="51" applyFont="1" applyFill="1" applyBorder="1" applyAlignment="1">
      <alignment vertical="center"/>
    </xf>
    <xf numFmtId="0" fontId="32" fillId="25" borderId="19" xfId="51" applyFont="1" applyFill="1" applyBorder="1" applyAlignment="1">
      <alignment vertical="center"/>
    </xf>
    <xf numFmtId="1" fontId="32" fillId="25" borderId="13" xfId="51" applyNumberFormat="1" applyFont="1" applyFill="1" applyBorder="1" applyAlignment="1">
      <alignment horizontal="center" vertical="center"/>
    </xf>
    <xf numFmtId="0" fontId="32" fillId="25" borderId="20" xfId="51" applyFont="1" applyFill="1" applyBorder="1" applyAlignment="1">
      <alignment horizontal="center" vertical="center"/>
    </xf>
    <xf numFmtId="0" fontId="32" fillId="25" borderId="21" xfId="51" applyFont="1" applyFill="1" applyBorder="1" applyAlignment="1">
      <alignment horizontal="center" vertical="center"/>
    </xf>
    <xf numFmtId="0" fontId="32" fillId="25" borderId="22" xfId="51" applyFont="1" applyFill="1" applyBorder="1" applyAlignment="1">
      <alignment vertical="center"/>
    </xf>
    <xf numFmtId="0" fontId="32" fillId="25" borderId="0" xfId="51" applyFont="1" applyFill="1" applyAlignment="1">
      <alignment vertical="center"/>
    </xf>
    <xf numFmtId="0" fontId="32" fillId="25" borderId="27" xfId="51" applyFont="1" applyFill="1" applyBorder="1" applyAlignment="1">
      <alignment vertical="center"/>
    </xf>
    <xf numFmtId="0" fontId="32" fillId="25" borderId="17" xfId="51" applyFont="1" applyFill="1" applyBorder="1" applyAlignment="1">
      <alignment vertical="center"/>
    </xf>
    <xf numFmtId="0" fontId="32" fillId="25" borderId="24" xfId="51" applyFont="1" applyFill="1" applyBorder="1" applyAlignment="1">
      <alignment vertical="center"/>
    </xf>
    <xf numFmtId="0" fontId="32" fillId="25" borderId="26" xfId="51" applyFont="1" applyFill="1" applyBorder="1" applyAlignment="1">
      <alignment vertical="center"/>
    </xf>
    <xf numFmtId="0" fontId="32" fillId="25" borderId="13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center" vertical="center" wrapText="1"/>
    </xf>
    <xf numFmtId="0" fontId="32" fillId="25" borderId="21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vertical="center" wrapText="1"/>
    </xf>
    <xf numFmtId="0" fontId="32" fillId="25" borderId="18" xfId="51" applyFont="1" applyFill="1" applyBorder="1" applyAlignment="1">
      <alignment vertical="center" wrapText="1"/>
    </xf>
    <xf numFmtId="0" fontId="32" fillId="25" borderId="19" xfId="51" applyFont="1" applyFill="1" applyBorder="1" applyAlignment="1">
      <alignment vertical="center" wrapText="1"/>
    </xf>
    <xf numFmtId="0" fontId="32" fillId="25" borderId="13" xfId="51" applyFont="1" applyFill="1" applyBorder="1" applyAlignment="1">
      <alignment horizontal="center" vertical="center"/>
    </xf>
    <xf numFmtId="0" fontId="32" fillId="25" borderId="17" xfId="51" applyFont="1" applyFill="1" applyBorder="1" applyAlignment="1">
      <alignment vertical="center" wrapText="1"/>
    </xf>
    <xf numFmtId="0" fontId="32" fillId="25" borderId="24" xfId="51" applyFont="1" applyFill="1" applyBorder="1" applyAlignment="1">
      <alignment vertical="center" wrapText="1"/>
    </xf>
    <xf numFmtId="0" fontId="32" fillId="25" borderId="26" xfId="51" applyFont="1" applyFill="1" applyBorder="1" applyAlignment="1">
      <alignment vertical="center" wrapText="1"/>
    </xf>
    <xf numFmtId="0" fontId="32" fillId="25" borderId="20" xfId="51" applyFont="1" applyFill="1" applyBorder="1" applyAlignment="1">
      <alignment horizontal="center" vertical="center" wrapText="1"/>
    </xf>
    <xf numFmtId="0" fontId="32" fillId="25" borderId="20" xfId="51" applyFont="1" applyFill="1" applyBorder="1" applyAlignment="1">
      <alignment horizontal="left" vertical="center" wrapText="1" indent="1"/>
    </xf>
    <xf numFmtId="0" fontId="32" fillId="25" borderId="22" xfId="51" applyFont="1" applyFill="1" applyBorder="1" applyAlignment="1">
      <alignment vertical="center" wrapText="1"/>
    </xf>
    <xf numFmtId="0" fontId="32" fillId="25" borderId="0" xfId="51" applyFont="1" applyFill="1" applyAlignment="1">
      <alignment vertical="center" wrapText="1"/>
    </xf>
    <xf numFmtId="0" fontId="32" fillId="25" borderId="27" xfId="51" applyFont="1" applyFill="1" applyBorder="1" applyAlignment="1">
      <alignment vertical="center" wrapText="1"/>
    </xf>
    <xf numFmtId="0" fontId="32" fillId="25" borderId="23" xfId="51" applyFont="1" applyFill="1" applyBorder="1" applyAlignment="1">
      <alignment horizontal="left" vertical="center" wrapText="1" indent="1"/>
    </xf>
    <xf numFmtId="0" fontId="32" fillId="25" borderId="16" xfId="51" applyFont="1" applyFill="1" applyBorder="1" applyAlignment="1">
      <alignment horizontal="left" vertical="center" wrapText="1" indent="1"/>
    </xf>
    <xf numFmtId="0" fontId="32" fillId="25" borderId="13" xfId="52" applyFont="1" applyFill="1" applyBorder="1" applyAlignment="1">
      <alignment horizontal="left" vertical="center" wrapText="1" indent="1"/>
    </xf>
    <xf numFmtId="0" fontId="32" fillId="25" borderId="20" xfId="52" applyFont="1" applyFill="1" applyBorder="1" applyAlignment="1">
      <alignment horizontal="left" vertical="center" wrapText="1" indent="1"/>
    </xf>
    <xf numFmtId="0" fontId="32" fillId="25" borderId="16" xfId="52" applyFont="1" applyFill="1" applyBorder="1" applyAlignment="1">
      <alignment vertical="center" wrapText="1"/>
    </xf>
    <xf numFmtId="0" fontId="32" fillId="25" borderId="18" xfId="52" applyFont="1" applyFill="1" applyBorder="1" applyAlignment="1">
      <alignment vertical="center" wrapText="1"/>
    </xf>
    <xf numFmtId="0" fontId="32" fillId="25" borderId="19" xfId="52" applyFont="1" applyFill="1" applyBorder="1" applyAlignment="1">
      <alignment vertical="center" wrapText="1"/>
    </xf>
    <xf numFmtId="0" fontId="32" fillId="25" borderId="16" xfId="51" applyFont="1" applyFill="1" applyBorder="1" applyAlignment="1">
      <alignment horizontal="center" vertical="center"/>
    </xf>
    <xf numFmtId="0" fontId="32" fillId="25" borderId="17" xfId="52" applyFont="1" applyFill="1" applyBorder="1" applyAlignment="1">
      <alignment vertical="center" wrapText="1"/>
    </xf>
    <xf numFmtId="0" fontId="32" fillId="25" borderId="24" xfId="52" applyFont="1" applyFill="1" applyBorder="1" applyAlignment="1">
      <alignment vertical="center" wrapText="1"/>
    </xf>
    <xf numFmtId="0" fontId="32" fillId="25" borderId="26" xfId="52" applyFont="1" applyFill="1" applyBorder="1" applyAlignment="1">
      <alignment vertical="center" wrapText="1"/>
    </xf>
    <xf numFmtId="0" fontId="32" fillId="25" borderId="22" xfId="51" applyFont="1" applyFill="1" applyBorder="1" applyAlignment="1">
      <alignment horizontal="left" vertical="center" wrapText="1"/>
    </xf>
    <xf numFmtId="0" fontId="32" fillId="25" borderId="0" xfId="51" applyFont="1" applyFill="1" applyAlignment="1">
      <alignment horizontal="left" vertical="center" wrapText="1"/>
    </xf>
    <xf numFmtId="0" fontId="32" fillId="25" borderId="27" xfId="51" applyFont="1" applyFill="1" applyBorder="1" applyAlignment="1">
      <alignment horizontal="left" vertical="center" wrapText="1"/>
    </xf>
    <xf numFmtId="0" fontId="2" fillId="32" borderId="12" xfId="51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/>
    </xf>
    <xf numFmtId="0" fontId="2" fillId="32" borderId="20" xfId="51" applyFont="1" applyFill="1" applyBorder="1" applyAlignment="1">
      <alignment horizontal="center" vertical="center"/>
    </xf>
    <xf numFmtId="0" fontId="2" fillId="32" borderId="21" xfId="51" applyFont="1" applyFill="1" applyBorder="1" applyAlignment="1">
      <alignment horizontal="center" vertical="center"/>
    </xf>
    <xf numFmtId="0" fontId="2" fillId="32" borderId="13" xfId="53" applyFont="1" applyFill="1" applyBorder="1" applyAlignment="1">
      <alignment horizontal="center" vertical="center" wrapText="1"/>
    </xf>
    <xf numFmtId="0" fontId="2" fillId="32" borderId="20" xfId="53" applyFont="1" applyFill="1" applyBorder="1" applyAlignment="1">
      <alignment horizontal="center" vertical="center" wrapText="1"/>
    </xf>
    <xf numFmtId="0" fontId="2" fillId="32" borderId="21" xfId="53" applyFont="1" applyFill="1" applyBorder="1" applyAlignment="1">
      <alignment horizontal="center" vertical="center" wrapText="1"/>
    </xf>
    <xf numFmtId="0" fontId="2" fillId="32" borderId="13" xfId="51" applyFont="1" applyFill="1" applyBorder="1" applyAlignment="1">
      <alignment horizontal="center" vertical="center" wrapText="1"/>
    </xf>
    <xf numFmtId="0" fontId="2" fillId="32" borderId="20" xfId="51" applyFont="1" applyFill="1" applyBorder="1" applyAlignment="1">
      <alignment horizontal="center" vertical="center" wrapText="1"/>
    </xf>
    <xf numFmtId="0" fontId="2" fillId="32" borderId="21" xfId="51" applyFont="1" applyFill="1" applyBorder="1" applyAlignment="1">
      <alignment horizontal="center" vertical="center" wrapText="1"/>
    </xf>
    <xf numFmtId="0" fontId="32" fillId="25" borderId="28" xfId="51" applyFont="1" applyFill="1" applyBorder="1" applyAlignment="1">
      <alignment horizontal="center" vertical="center"/>
    </xf>
    <xf numFmtId="0" fontId="32" fillId="25" borderId="29" xfId="51" applyFont="1" applyFill="1" applyBorder="1" applyAlignment="1">
      <alignment horizontal="center" vertical="center"/>
    </xf>
    <xf numFmtId="0" fontId="32" fillId="25" borderId="30" xfId="51" applyFont="1" applyFill="1" applyBorder="1" applyAlignment="1">
      <alignment horizontal="center" vertical="center"/>
    </xf>
    <xf numFmtId="0" fontId="32" fillId="0" borderId="0" xfId="53" applyFont="1" applyFill="1" applyAlignment="1">
      <alignment horizontal="left" vertical="top" wrapText="1"/>
    </xf>
    <xf numFmtId="0" fontId="32" fillId="0" borderId="0" xfId="53" applyFont="1" applyFill="1" applyAlignment="1">
      <alignment horizontal="left" vertical="top"/>
    </xf>
    <xf numFmtId="0" fontId="32" fillId="0" borderId="0" xfId="53" applyFont="1" applyFill="1" applyAlignment="1">
      <alignment horizontal="left" vertical="center"/>
    </xf>
    <xf numFmtId="0" fontId="32" fillId="34" borderId="12" xfId="53" applyFont="1" applyFill="1" applyBorder="1" applyAlignment="1">
      <alignment horizontal="center" vertical="center" wrapText="1"/>
    </xf>
    <xf numFmtId="0" fontId="43" fillId="34" borderId="12" xfId="53" applyFont="1" applyFill="1" applyBorder="1" applyAlignment="1">
      <alignment horizontal="center" vertical="center"/>
    </xf>
    <xf numFmtId="0" fontId="32" fillId="0" borderId="0" xfId="53" applyFont="1" applyFill="1" applyAlignment="1">
      <alignment horizontal="left" vertical="center" wrapText="1"/>
    </xf>
  </cellXfs>
  <cellStyles count="7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0" xfId="25"/>
    <cellStyle name="Dane wejściowe" xfId="26" builtinId="20" customBuiltin="1"/>
    <cellStyle name="Dane wyjściowe" xfId="27" builtinId="21" customBuiltin="1"/>
    <cellStyle name="Date" xfId="28"/>
    <cellStyle name="Dobry" xfId="29" builtinId="26" customBuiltin="1"/>
    <cellStyle name="Dziesiętny 2" xfId="30"/>
    <cellStyle name="Fixed" xfId="31"/>
    <cellStyle name="HEADING1" xfId="32"/>
    <cellStyle name="HEADING2" xfId="33"/>
    <cellStyle name="Iau?iue_Ecnn1 (2)" xfId="34"/>
    <cellStyle name="Komórka połączona" xfId="35" builtinId="24" customBuiltin="1"/>
    <cellStyle name="Komórka zaznaczona" xfId="36" builtinId="23" customBuiltin="1"/>
    <cellStyle name="Nagłówek 1" xfId="37" builtinId="16" customBuiltin="1"/>
    <cellStyle name="Nagłówek 2" xfId="38" builtinId="17" customBuiltin="1"/>
    <cellStyle name="Nagłówek 3" xfId="39" builtinId="18" customBuiltin="1"/>
    <cellStyle name="Nagłówek 4" xfId="40" builtinId="19" customBuiltin="1"/>
    <cellStyle name="Neutralny" xfId="41" builtinId="28" customBuiltin="1"/>
    <cellStyle name="Normal - Styl1" xfId="42"/>
    <cellStyle name="Normal - Styl2" xfId="43"/>
    <cellStyle name="Normal - Styl3" xfId="44"/>
    <cellStyle name="Normal - Styl4" xfId="45"/>
    <cellStyle name="Normal - Styl5" xfId="46"/>
    <cellStyle name="Normal - Styl6" xfId="47"/>
    <cellStyle name="Normal - Styl7" xfId="48"/>
    <cellStyle name="Normal_~1065031" xfId="49"/>
    <cellStyle name="Normalny" xfId="0" builtinId="0"/>
    <cellStyle name="Normalny 2" xfId="50"/>
    <cellStyle name="Normalny_Analiza ex_post" xfId="51"/>
    <cellStyle name="Normalny_Karta oceny 06" xfId="52"/>
    <cellStyle name="Normalny_Kredyty dopłatowe_Tabele do wniosku" xfId="53"/>
    <cellStyle name="Obliczenia" xfId="54" builtinId="22" customBuiltin="1"/>
    <cellStyle name="Procentowy" xfId="55" builtinId="5"/>
    <cellStyle name="Procentowy 2" xfId="56"/>
    <cellStyle name="STATE" xfId="57"/>
    <cellStyle name="Suma" xfId="58" builtinId="25" customBuiltin="1"/>
    <cellStyle name="Tekst objaśnienia" xfId="59" builtinId="53" customBuiltin="1"/>
    <cellStyle name="Tekst ostrzeżenia" xfId="60" builtinId="11" customBuiltin="1"/>
    <cellStyle name="Total" xfId="61"/>
    <cellStyle name="Tytuł" xfId="62" builtinId="15" customBuiltin="1"/>
    <cellStyle name="Uwaga" xfId="63" builtinId="10" customBuiltin="1"/>
    <cellStyle name="Zły" xfId="64" builtinId="27" customBuiltin="1"/>
    <cellStyle name="Денежный [0]_11" xfId="65"/>
    <cellStyle name="Денежный_11" xfId="66"/>
    <cellStyle name="Обычный_04.OSS" xfId="67"/>
    <cellStyle name="Финансовый [0]_11" xfId="68"/>
    <cellStyle name="Финансовый_11" xfId="69"/>
  </cellStyles>
  <dxfs count="4">
    <dxf>
      <fill>
        <patternFill>
          <bgColor indexed="12"/>
        </patternFill>
      </fill>
    </dxf>
    <dxf>
      <fill>
        <patternFill>
          <bgColor indexed="52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CC"/>
      <color rgb="FFFFFF99"/>
      <color rgb="FFCCFFCC"/>
      <color rgb="FFC0C0C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51</xdr:row>
      <xdr:rowOff>123826</xdr:rowOff>
    </xdr:from>
    <xdr:to>
      <xdr:col>1</xdr:col>
      <xdr:colOff>3371850</xdr:colOff>
      <xdr:row>51</xdr:row>
      <xdr:rowOff>454796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4124326"/>
          <a:ext cx="3228975" cy="330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276225</xdr:colOff>
      <xdr:row>53</xdr:row>
      <xdr:rowOff>66675</xdr:rowOff>
    </xdr:from>
    <xdr:to>
      <xdr:col>1</xdr:col>
      <xdr:colOff>1047750</xdr:colOff>
      <xdr:row>53</xdr:row>
      <xdr:rowOff>266364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981700"/>
          <a:ext cx="771525" cy="19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238125</xdr:colOff>
      <xdr:row>55</xdr:row>
      <xdr:rowOff>95250</xdr:rowOff>
    </xdr:from>
    <xdr:to>
      <xdr:col>1</xdr:col>
      <xdr:colOff>1362075</xdr:colOff>
      <xdr:row>55</xdr:row>
      <xdr:rowOff>278904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038975"/>
          <a:ext cx="1123950" cy="183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257176</xdr:colOff>
      <xdr:row>57</xdr:row>
      <xdr:rowOff>114300</xdr:rowOff>
    </xdr:from>
    <xdr:to>
      <xdr:col>1</xdr:col>
      <xdr:colOff>2238375</xdr:colOff>
      <xdr:row>58</xdr:row>
      <xdr:rowOff>8592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058150"/>
          <a:ext cx="1981199" cy="361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257175</xdr:colOff>
      <xdr:row>59</xdr:row>
      <xdr:rowOff>238125</xdr:rowOff>
    </xdr:from>
    <xdr:to>
      <xdr:col>1</xdr:col>
      <xdr:colOff>3122839</xdr:colOff>
      <xdr:row>60</xdr:row>
      <xdr:rowOff>352425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782175"/>
          <a:ext cx="2865664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Q30"/>
  <sheetViews>
    <sheetView zoomScale="85" zoomScaleNormal="85" workbookViewId="0">
      <selection activeCell="B27" sqref="B27:P27"/>
    </sheetView>
  </sheetViews>
  <sheetFormatPr defaultColWidth="0" defaultRowHeight="12.75" zeroHeight="1"/>
  <cols>
    <col min="1" max="1" width="2.42578125" style="5" customWidth="1"/>
    <col min="2" max="17" width="9.140625" style="5" customWidth="1"/>
    <col min="18" max="16384" width="9.140625" style="5" hidden="1"/>
  </cols>
  <sheetData>
    <row r="1" spans="1:16" ht="12.75" customHeight="1">
      <c r="A1" s="6"/>
      <c r="B1" s="185" t="s">
        <v>221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</row>
    <row r="2" spans="1:16">
      <c r="A2" s="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</row>
    <row r="3" spans="1:16">
      <c r="A3" s="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8"/>
    </row>
    <row r="4" spans="1:16">
      <c r="A4" s="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8"/>
    </row>
    <row r="5" spans="1:16">
      <c r="A5" s="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8"/>
    </row>
    <row r="6" spans="1:16">
      <c r="A6" s="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8"/>
    </row>
    <row r="7" spans="1:16">
      <c r="A7" s="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</row>
    <row r="8" spans="1:16">
      <c r="A8" s="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8"/>
    </row>
    <row r="9" spans="1:16">
      <c r="A9" s="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8"/>
    </row>
    <row r="10" spans="1:16">
      <c r="A10" s="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8"/>
    </row>
    <row r="11" spans="1:16">
      <c r="A11" s="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</row>
    <row r="12" spans="1:16">
      <c r="A12" s="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8"/>
    </row>
    <row r="13" spans="1:16">
      <c r="A13" s="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8"/>
    </row>
    <row r="14" spans="1:16">
      <c r="A14" s="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8"/>
    </row>
    <row r="15" spans="1:16">
      <c r="A15" s="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8"/>
    </row>
    <row r="16" spans="1:16">
      <c r="A16" s="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8"/>
    </row>
    <row r="17" spans="1:16">
      <c r="A17" s="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8"/>
    </row>
    <row r="18" spans="1:16">
      <c r="A18" s="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8"/>
    </row>
    <row r="19" spans="1:16">
      <c r="A19" s="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8"/>
    </row>
    <row r="20" spans="1:16">
      <c r="A20" s="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8"/>
    </row>
    <row r="21" spans="1:16">
      <c r="A21" s="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8"/>
    </row>
    <row r="22" spans="1:16">
      <c r="A22" s="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8"/>
    </row>
    <row r="23" spans="1:16">
      <c r="A23" s="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8"/>
    </row>
    <row r="24" spans="1:16">
      <c r="A24" s="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8"/>
    </row>
    <row r="25" spans="1:16">
      <c r="A25" s="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8"/>
    </row>
    <row r="26" spans="1:16" ht="41.25" customHeight="1">
      <c r="A26" s="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8"/>
    </row>
    <row r="27" spans="1:16" ht="97.5" customHeight="1">
      <c r="A27" s="50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90"/>
    </row>
    <row r="28" spans="1:16" ht="18" customHeight="1">
      <c r="A28" s="8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4"/>
    </row>
    <row r="29" spans="1:16"/>
    <row r="30" spans="1:16"/>
  </sheetData>
  <sheetProtection algorithmName="SHA-512" hashValue="Ya1lHcKRiqV1wrKx30SLHiDMzW3RxoAANQnzZzuxg6HdDu5wbT2o3AR/QVGlSVR9PEksa+TaCA0L/hJfiqFp7Q==" saltValue="/ZaZszU/c16P0WRwMVvJiQ==" spinCount="100000" sheet="1" objects="1" scenarios="1" selectLockedCells="1" selectUnlockedCells="1"/>
  <mergeCells count="3">
    <mergeCell ref="B28:P28"/>
    <mergeCell ref="B1:P26"/>
    <mergeCell ref="B27:P27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&amp;L&amp;G&amp;RWniosek o dofinansowanie 
dla Programu Fundusze Europejskie na Infrastrukturę, Klimat, Środowisko 2021-2027 
Załącznik 19 - Kalkulator WACC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Arkusz10">
    <pageSetUpPr fitToPage="1"/>
  </sheetPr>
  <dimension ref="A1:V77"/>
  <sheetViews>
    <sheetView showGridLines="0" topLeftCell="A71" zoomScale="85" zoomScaleNormal="85" zoomScaleSheetLayoutView="100" workbookViewId="0">
      <selection activeCell="E23" sqref="E23"/>
    </sheetView>
  </sheetViews>
  <sheetFormatPr defaultColWidth="0" defaultRowHeight="12.75" zeroHeight="1"/>
  <cols>
    <col min="1" max="1" width="5.7109375" style="83" customWidth="1"/>
    <col min="2" max="2" width="4.7109375" style="81" customWidth="1"/>
    <col min="3" max="3" width="70.7109375" style="82" customWidth="1"/>
    <col min="4" max="4" width="18.7109375" style="82" customWidth="1"/>
    <col min="5" max="7" width="18.7109375" style="83" customWidth="1"/>
    <col min="8" max="8" width="10.7109375" style="83" customWidth="1"/>
    <col min="9" max="9" width="9.140625" style="83" hidden="1" customWidth="1"/>
    <col min="10" max="10" width="9.5703125" style="83" hidden="1" customWidth="1"/>
    <col min="11" max="11" width="9.140625" style="83" hidden="1" customWidth="1"/>
    <col min="12" max="22" width="0" style="83" hidden="1" customWidth="1"/>
    <col min="23" max="16384" width="9.140625" style="83" hidden="1"/>
  </cols>
  <sheetData>
    <row r="1" spans="2:21" ht="36" customHeight="1"/>
    <row r="2" spans="2:21" s="60" customFormat="1" ht="24.95" customHeight="1">
      <c r="B2" s="191" t="s">
        <v>223</v>
      </c>
      <c r="C2" s="191"/>
      <c r="D2" s="192" t="s">
        <v>227</v>
      </c>
      <c r="E2" s="192"/>
      <c r="F2" s="192"/>
      <c r="G2" s="192"/>
    </row>
    <row r="3" spans="2:21" s="60" customFormat="1" ht="24.95" customHeight="1">
      <c r="B3" s="191" t="s">
        <v>224</v>
      </c>
      <c r="C3" s="191"/>
      <c r="D3" s="192" t="s">
        <v>228</v>
      </c>
      <c r="E3" s="192"/>
      <c r="F3" s="192"/>
      <c r="G3" s="192"/>
    </row>
    <row r="4" spans="2:21" s="60" customFormat="1" ht="24.95" hidden="1" customHeight="1">
      <c r="B4" s="191" t="s">
        <v>257</v>
      </c>
      <c r="C4" s="191"/>
      <c r="D4" s="197" t="s">
        <v>256</v>
      </c>
      <c r="E4" s="198"/>
      <c r="F4" s="198"/>
      <c r="G4" s="199"/>
    </row>
    <row r="5" spans="2:21" ht="24.95" hidden="1" customHeight="1">
      <c r="B5" s="195" t="s">
        <v>253</v>
      </c>
      <c r="C5" s="196"/>
      <c r="D5" s="164">
        <v>5.6800000000000003E-2</v>
      </c>
      <c r="J5" s="84"/>
    </row>
    <row r="6" spans="2:21" ht="24.95" hidden="1" customHeight="1">
      <c r="B6" s="195" t="s">
        <v>254</v>
      </c>
      <c r="C6" s="196"/>
      <c r="D6" s="163">
        <v>2024</v>
      </c>
      <c r="J6" s="84"/>
    </row>
    <row r="7" spans="2:21" ht="24.95" hidden="1" customHeight="1">
      <c r="B7" s="193" t="s">
        <v>255</v>
      </c>
      <c r="C7" s="194"/>
      <c r="D7" s="163" t="s">
        <v>225</v>
      </c>
      <c r="F7" s="85" t="s">
        <v>226</v>
      </c>
      <c r="J7" s="84"/>
    </row>
    <row r="8" spans="2:21" ht="20.100000000000001" customHeight="1">
      <c r="J8" s="84"/>
    </row>
    <row r="9" spans="2:21" ht="20.100000000000001" customHeight="1">
      <c r="J9" s="84"/>
    </row>
    <row r="10" spans="2:21" s="60" customFormat="1" ht="45" customHeight="1">
      <c r="B10" s="200" t="s">
        <v>203</v>
      </c>
      <c r="C10" s="201"/>
      <c r="D10" s="86" t="s">
        <v>25</v>
      </c>
      <c r="E10" s="61" t="s">
        <v>141</v>
      </c>
      <c r="F10" s="87" t="s">
        <v>123</v>
      </c>
      <c r="H10" s="83"/>
      <c r="I10" s="83"/>
      <c r="J10" s="84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</row>
    <row r="11" spans="2:21" s="60" customFormat="1" ht="30" customHeight="1">
      <c r="B11" s="195" t="str">
        <f>IF(F11="","","Rating bieżącej sytuacji finansowej (podsumowanie wyników oceny)")</f>
        <v>Rating bieżącej sytuacji finansowej (podsumowanie wyników oceny)</v>
      </c>
      <c r="C11" s="202"/>
      <c r="D11" s="88">
        <f>Wyniki!I41</f>
        <v>10</v>
      </c>
      <c r="E11" s="89" t="str">
        <f>IF(Wyniki!I41&gt;75,"AAA-A",IF(Wyniki!I41&gt;59,"BBB",IF(Wyniki!I41&gt;49,"BB",IF(Wyniki!I41&gt;32,"B",IF(Wyniki!I41=0,"","CCC")))))</f>
        <v>CCC</v>
      </c>
      <c r="F11" s="166" t="str">
        <f>IF(Wyniki!I41=0,"",Wyniki!H42)</f>
        <v>Zła/trudności finansowe</v>
      </c>
      <c r="G11" s="165"/>
      <c r="H11" s="83"/>
      <c r="I11" s="83"/>
      <c r="J11" s="84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</row>
    <row r="12" spans="2:21" s="60" customFormat="1" ht="20.100000000000001" customHeight="1">
      <c r="B12" s="90"/>
      <c r="C12" s="91"/>
      <c r="D12" s="91"/>
      <c r="E12" s="91"/>
      <c r="F12" s="91"/>
      <c r="G12" s="91"/>
      <c r="H12" s="83"/>
      <c r="I12" s="83"/>
      <c r="J12" s="84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1" s="60" customFormat="1" ht="20.100000000000001" customHeight="1"/>
    <row r="14" spans="2:21" s="62" customFormat="1" ht="45" customHeight="1">
      <c r="B14" s="203" t="s">
        <v>31</v>
      </c>
      <c r="C14" s="203"/>
      <c r="D14" s="86" t="s">
        <v>25</v>
      </c>
      <c r="E14" s="86" t="s">
        <v>141</v>
      </c>
      <c r="F14" s="86" t="s">
        <v>210</v>
      </c>
    </row>
    <row r="15" spans="2:21" s="60" customFormat="1" ht="20.100000000000001" customHeight="1">
      <c r="B15" s="204" t="s">
        <v>157</v>
      </c>
      <c r="C15" s="204"/>
      <c r="D15" s="92" t="s">
        <v>143</v>
      </c>
      <c r="E15" s="92" t="s">
        <v>208</v>
      </c>
      <c r="F15" s="89">
        <v>60</v>
      </c>
    </row>
    <row r="16" spans="2:21" s="60" customFormat="1" ht="20.100000000000001" customHeight="1">
      <c r="B16" s="195" t="s">
        <v>158</v>
      </c>
      <c r="C16" s="196"/>
      <c r="D16" s="92" t="s">
        <v>144</v>
      </c>
      <c r="E16" s="92" t="s">
        <v>205</v>
      </c>
      <c r="F16" s="89">
        <v>75</v>
      </c>
    </row>
    <row r="17" spans="2:7" s="60" customFormat="1" ht="20.100000000000001" customHeight="1">
      <c r="B17" s="195" t="s">
        <v>159</v>
      </c>
      <c r="C17" s="196"/>
      <c r="D17" s="92" t="s">
        <v>145</v>
      </c>
      <c r="E17" s="92" t="s">
        <v>206</v>
      </c>
      <c r="F17" s="89">
        <v>100</v>
      </c>
    </row>
    <row r="18" spans="2:7" s="60" customFormat="1" ht="20.100000000000001" customHeight="1">
      <c r="B18" s="195" t="s">
        <v>160</v>
      </c>
      <c r="C18" s="196"/>
      <c r="D18" s="92" t="s">
        <v>146</v>
      </c>
      <c r="E18" s="92" t="s">
        <v>207</v>
      </c>
      <c r="F18" s="89">
        <v>220</v>
      </c>
    </row>
    <row r="19" spans="2:7" s="60" customFormat="1" ht="20.100000000000001" customHeight="1">
      <c r="B19" s="195" t="s">
        <v>161</v>
      </c>
      <c r="C19" s="196"/>
      <c r="D19" s="92" t="s">
        <v>147</v>
      </c>
      <c r="E19" s="92" t="s">
        <v>204</v>
      </c>
      <c r="F19" s="89">
        <v>400</v>
      </c>
    </row>
    <row r="20" spans="2:7" s="60" customFormat="1" ht="20.100000000000001" customHeight="1">
      <c r="B20" s="93"/>
      <c r="C20" s="93"/>
      <c r="D20" s="93"/>
    </row>
    <row r="21" spans="2:7" s="93" customFormat="1" ht="19.5" customHeight="1"/>
    <row r="22" spans="2:7" s="97" customFormat="1" ht="45" customHeight="1">
      <c r="B22" s="94" t="s">
        <v>142</v>
      </c>
      <c r="C22" s="95" t="s">
        <v>162</v>
      </c>
      <c r="D22" s="94" t="s">
        <v>209</v>
      </c>
      <c r="E22" s="96">
        <f>IF($G$22="","",F22-1)</f>
        <v>2021</v>
      </c>
      <c r="F22" s="96">
        <f>IF($G$22="","",G22-1)</f>
        <v>2022</v>
      </c>
      <c r="G22" s="96">
        <f>IF($D$6="","",$D$6-1)</f>
        <v>2023</v>
      </c>
    </row>
    <row r="23" spans="2:7" s="100" customFormat="1" ht="20.100000000000001" customHeight="1">
      <c r="B23" s="98" t="s">
        <v>163</v>
      </c>
      <c r="C23" s="99" t="s">
        <v>164</v>
      </c>
      <c r="D23" s="98" t="str">
        <f t="shared" ref="D23:D30" si="0">IF($D$7="","",$D$7)</f>
        <v>zł</v>
      </c>
      <c r="E23" s="157"/>
      <c r="F23" s="157"/>
      <c r="G23" s="157"/>
    </row>
    <row r="24" spans="2:7" s="100" customFormat="1" ht="20.100000000000001" customHeight="1">
      <c r="B24" s="101" t="s">
        <v>165</v>
      </c>
      <c r="C24" s="99" t="s">
        <v>62</v>
      </c>
      <c r="D24" s="98" t="str">
        <f t="shared" si="0"/>
        <v>zł</v>
      </c>
      <c r="E24" s="157"/>
      <c r="F24" s="157"/>
      <c r="G24" s="157"/>
    </row>
    <row r="25" spans="2:7" s="105" customFormat="1" ht="20.100000000000001" customHeight="1">
      <c r="B25" s="102"/>
      <c r="C25" s="103" t="s">
        <v>137</v>
      </c>
      <c r="D25" s="104" t="str">
        <f t="shared" si="0"/>
        <v>zł</v>
      </c>
      <c r="E25" s="158"/>
      <c r="F25" s="158"/>
      <c r="G25" s="158"/>
    </row>
    <row r="26" spans="2:7" s="100" customFormat="1" ht="20.100000000000001" customHeight="1">
      <c r="B26" s="101" t="s">
        <v>168</v>
      </c>
      <c r="C26" s="99" t="s">
        <v>169</v>
      </c>
      <c r="D26" s="98" t="str">
        <f t="shared" si="0"/>
        <v>zł</v>
      </c>
      <c r="E26" s="157"/>
      <c r="F26" s="157"/>
      <c r="G26" s="157"/>
    </row>
    <row r="27" spans="2:7" s="100" customFormat="1" ht="20.100000000000001" customHeight="1">
      <c r="B27" s="101" t="s">
        <v>172</v>
      </c>
      <c r="C27" s="99" t="s">
        <v>59</v>
      </c>
      <c r="D27" s="98" t="str">
        <f t="shared" si="0"/>
        <v>zł</v>
      </c>
      <c r="E27" s="157"/>
      <c r="F27" s="157"/>
      <c r="G27" s="157"/>
    </row>
    <row r="28" spans="2:7" s="100" customFormat="1" ht="20.100000000000001" customHeight="1">
      <c r="B28" s="101" t="s">
        <v>174</v>
      </c>
      <c r="C28" s="99" t="s">
        <v>61</v>
      </c>
      <c r="D28" s="98" t="str">
        <f t="shared" si="0"/>
        <v>zł</v>
      </c>
      <c r="E28" s="157"/>
      <c r="F28" s="157"/>
      <c r="G28" s="157"/>
    </row>
    <row r="29" spans="2:7" s="100" customFormat="1" ht="20.100000000000001" customHeight="1">
      <c r="B29" s="101" t="s">
        <v>175</v>
      </c>
      <c r="C29" s="99" t="s">
        <v>176</v>
      </c>
      <c r="D29" s="98" t="str">
        <f t="shared" si="0"/>
        <v>zł</v>
      </c>
      <c r="E29" s="157"/>
      <c r="F29" s="157"/>
      <c r="G29" s="157"/>
    </row>
    <row r="30" spans="2:7" s="100" customFormat="1" ht="20.100000000000001" customHeight="1">
      <c r="B30" s="101" t="s">
        <v>177</v>
      </c>
      <c r="C30" s="99" t="s">
        <v>60</v>
      </c>
      <c r="D30" s="98" t="str">
        <f t="shared" si="0"/>
        <v>zł</v>
      </c>
      <c r="E30" s="157"/>
      <c r="F30" s="157"/>
      <c r="G30" s="157"/>
    </row>
    <row r="31" spans="2:7" ht="20.100000000000001" customHeight="1">
      <c r="B31" s="83"/>
      <c r="C31" s="83"/>
      <c r="D31" s="83"/>
    </row>
    <row r="32" spans="2:7" s="97" customFormat="1" ht="45" customHeight="1">
      <c r="B32" s="80" t="s">
        <v>142</v>
      </c>
      <c r="C32" s="106" t="s">
        <v>178</v>
      </c>
      <c r="D32" s="80" t="s">
        <v>209</v>
      </c>
      <c r="E32" s="96">
        <f>IF($G$22="","",F32-1)</f>
        <v>2021</v>
      </c>
      <c r="F32" s="96">
        <f>IF($G$22="","",G32-1)</f>
        <v>2022</v>
      </c>
      <c r="G32" s="96">
        <f>IF($G$22="","",$G$22)</f>
        <v>2023</v>
      </c>
    </row>
    <row r="33" spans="2:7" s="97" customFormat="1" ht="20.100000000000001" customHeight="1">
      <c r="B33" s="107" t="s">
        <v>163</v>
      </c>
      <c r="C33" s="108" t="s">
        <v>179</v>
      </c>
      <c r="D33" s="101" t="str">
        <f t="shared" ref="D33:D42" si="1">IF($D$7="","",$D$7)</f>
        <v>zł</v>
      </c>
      <c r="E33" s="157"/>
      <c r="F33" s="157"/>
      <c r="G33" s="157"/>
    </row>
    <row r="34" spans="2:7" s="97" customFormat="1" ht="20.100000000000001" customHeight="1">
      <c r="B34" s="107" t="s">
        <v>165</v>
      </c>
      <c r="C34" s="108" t="s">
        <v>127</v>
      </c>
      <c r="D34" s="101" t="str">
        <f t="shared" si="1"/>
        <v>zł</v>
      </c>
      <c r="E34" s="157"/>
      <c r="F34" s="157"/>
      <c r="G34" s="157"/>
    </row>
    <row r="35" spans="2:7" ht="20.100000000000001" customHeight="1">
      <c r="B35" s="109" t="s">
        <v>148</v>
      </c>
      <c r="C35" s="110" t="s">
        <v>116</v>
      </c>
      <c r="D35" s="102" t="str">
        <f t="shared" si="1"/>
        <v>zł</v>
      </c>
      <c r="E35" s="158"/>
      <c r="F35" s="157"/>
      <c r="G35" s="157"/>
    </row>
    <row r="36" spans="2:7" ht="20.100000000000001" customHeight="1">
      <c r="B36" s="109" t="s">
        <v>149</v>
      </c>
      <c r="C36" s="110" t="s">
        <v>128</v>
      </c>
      <c r="D36" s="102" t="str">
        <f t="shared" si="1"/>
        <v>zł</v>
      </c>
      <c r="E36" s="158"/>
      <c r="F36" s="157"/>
      <c r="G36" s="157"/>
    </row>
    <row r="37" spans="2:7" ht="20.100000000000001" customHeight="1">
      <c r="B37" s="109" t="s">
        <v>150</v>
      </c>
      <c r="C37" s="110" t="s">
        <v>129</v>
      </c>
      <c r="D37" s="102" t="str">
        <f t="shared" si="1"/>
        <v>zł</v>
      </c>
      <c r="E37" s="159"/>
      <c r="F37" s="157"/>
      <c r="G37" s="157"/>
    </row>
    <row r="38" spans="2:7" ht="20.100000000000001" customHeight="1">
      <c r="B38" s="109"/>
      <c r="C38" s="110" t="s">
        <v>130</v>
      </c>
      <c r="D38" s="102" t="str">
        <f t="shared" si="1"/>
        <v>zł</v>
      </c>
      <c r="E38" s="159"/>
      <c r="F38" s="157"/>
      <c r="G38" s="157"/>
    </row>
    <row r="39" spans="2:7" ht="20.100000000000001" customHeight="1">
      <c r="B39" s="109" t="s">
        <v>151</v>
      </c>
      <c r="C39" s="110" t="s">
        <v>131</v>
      </c>
      <c r="D39" s="102" t="str">
        <f t="shared" si="1"/>
        <v>zł</v>
      </c>
      <c r="E39" s="159"/>
      <c r="F39" s="159"/>
      <c r="G39" s="159"/>
    </row>
    <row r="40" spans="2:7" ht="20.100000000000001" customHeight="1">
      <c r="B40" s="109" t="s">
        <v>168</v>
      </c>
      <c r="C40" s="110" t="s">
        <v>246</v>
      </c>
      <c r="D40" s="102" t="str">
        <f t="shared" si="1"/>
        <v>zł</v>
      </c>
      <c r="E40" s="159"/>
      <c r="F40" s="159"/>
      <c r="G40" s="159"/>
    </row>
    <row r="41" spans="2:7" ht="20.100000000000001" customHeight="1">
      <c r="B41" s="109" t="s">
        <v>170</v>
      </c>
      <c r="C41" s="110" t="s">
        <v>247</v>
      </c>
      <c r="D41" s="102" t="str">
        <f t="shared" si="1"/>
        <v>zł</v>
      </c>
      <c r="E41" s="159"/>
      <c r="F41" s="159"/>
      <c r="G41" s="159"/>
    </row>
    <row r="42" spans="2:7" s="97" customFormat="1" ht="20.100000000000001" customHeight="1">
      <c r="B42" s="107"/>
      <c r="C42" s="108" t="s">
        <v>248</v>
      </c>
      <c r="D42" s="101" t="str">
        <f t="shared" si="1"/>
        <v>zł</v>
      </c>
      <c r="E42" s="157"/>
      <c r="F42" s="157"/>
      <c r="G42" s="157"/>
    </row>
    <row r="43" spans="2:7" ht="20.100000000000001" customHeight="1">
      <c r="B43" s="83"/>
      <c r="C43" s="83"/>
      <c r="D43" s="83"/>
    </row>
    <row r="44" spans="2:7" s="97" customFormat="1" ht="45" customHeight="1">
      <c r="B44" s="80" t="s">
        <v>142</v>
      </c>
      <c r="C44" s="106" t="s">
        <v>180</v>
      </c>
      <c r="D44" s="80" t="s">
        <v>209</v>
      </c>
      <c r="E44" s="96">
        <f>IF($G$22="","",F44-1)</f>
        <v>2021</v>
      </c>
      <c r="F44" s="96">
        <f>IF($G$22="","",G44-1)</f>
        <v>2022</v>
      </c>
      <c r="G44" s="96">
        <f>IF($G$22="","",$G$22)</f>
        <v>2023</v>
      </c>
    </row>
    <row r="45" spans="2:7" s="100" customFormat="1" ht="20.100000000000001" customHeight="1">
      <c r="B45" s="101" t="s">
        <v>163</v>
      </c>
      <c r="C45" s="111" t="s">
        <v>140</v>
      </c>
      <c r="D45" s="101" t="str">
        <f t="shared" ref="D45:D51" si="2">IF($D$7="","",$D$7)</f>
        <v>zł</v>
      </c>
      <c r="E45" s="157"/>
      <c r="F45" s="157"/>
      <c r="G45" s="157"/>
    </row>
    <row r="46" spans="2:7" s="100" customFormat="1" ht="20.100000000000001" customHeight="1">
      <c r="B46" s="101" t="s">
        <v>165</v>
      </c>
      <c r="C46" s="111" t="s">
        <v>136</v>
      </c>
      <c r="D46" s="101" t="str">
        <f t="shared" si="2"/>
        <v>zł</v>
      </c>
      <c r="E46" s="157"/>
      <c r="F46" s="157"/>
      <c r="G46" s="157"/>
    </row>
    <row r="47" spans="2:7" s="105" customFormat="1" ht="20.100000000000001" customHeight="1">
      <c r="B47" s="102" t="s">
        <v>148</v>
      </c>
      <c r="C47" s="112" t="s">
        <v>132</v>
      </c>
      <c r="D47" s="102" t="str">
        <f t="shared" si="2"/>
        <v>zł</v>
      </c>
      <c r="E47" s="159"/>
      <c r="F47" s="159"/>
      <c r="G47" s="159"/>
    </row>
    <row r="48" spans="2:7" s="105" customFormat="1" ht="20.100000000000001" customHeight="1">
      <c r="B48" s="102" t="s">
        <v>149</v>
      </c>
      <c r="C48" s="112" t="s">
        <v>133</v>
      </c>
      <c r="D48" s="102" t="str">
        <f t="shared" si="2"/>
        <v>zł</v>
      </c>
      <c r="E48" s="159"/>
      <c r="F48" s="159"/>
      <c r="G48" s="159"/>
    </row>
    <row r="49" spans="2:7" s="105" customFormat="1" ht="20.100000000000001" customHeight="1">
      <c r="B49" s="102" t="s">
        <v>150</v>
      </c>
      <c r="C49" s="112" t="s">
        <v>134</v>
      </c>
      <c r="D49" s="102" t="str">
        <f t="shared" si="2"/>
        <v>zł</v>
      </c>
      <c r="E49" s="158"/>
      <c r="F49" s="158"/>
      <c r="G49" s="158"/>
    </row>
    <row r="50" spans="2:7" s="105" customFormat="1" ht="20.100000000000001" customHeight="1">
      <c r="B50" s="102" t="s">
        <v>151</v>
      </c>
      <c r="C50" s="112" t="s">
        <v>135</v>
      </c>
      <c r="D50" s="102" t="str">
        <f t="shared" si="2"/>
        <v>zł</v>
      </c>
      <c r="E50" s="159"/>
      <c r="F50" s="159"/>
      <c r="G50" s="159"/>
    </row>
    <row r="51" spans="2:7" s="100" customFormat="1" ht="20.100000000000001" customHeight="1">
      <c r="B51" s="101"/>
      <c r="C51" s="111" t="s">
        <v>182</v>
      </c>
      <c r="D51" s="101" t="str">
        <f t="shared" si="2"/>
        <v>zł</v>
      </c>
      <c r="E51" s="160"/>
      <c r="F51" s="160"/>
      <c r="G51" s="160"/>
    </row>
    <row r="52" spans="2:7" s="100" customFormat="1" ht="20.100000000000001" customHeight="1"/>
    <row r="53" spans="2:7" s="97" customFormat="1" ht="45" customHeight="1">
      <c r="B53" s="94" t="s">
        <v>142</v>
      </c>
      <c r="C53" s="94" t="s">
        <v>138</v>
      </c>
      <c r="D53" s="94" t="s">
        <v>209</v>
      </c>
      <c r="E53" s="96">
        <f>IF($G$22="","",F53-1)</f>
        <v>2021</v>
      </c>
      <c r="F53" s="96">
        <f>IF($G$22="","",G53-1)</f>
        <v>2022</v>
      </c>
      <c r="G53" s="96">
        <f>IF($G$22="","",$G$22)</f>
        <v>2023</v>
      </c>
    </row>
    <row r="54" spans="2:7" s="100" customFormat="1" ht="20.100000000000001" customHeight="1">
      <c r="B54" s="113" t="s">
        <v>163</v>
      </c>
      <c r="C54" s="114" t="s">
        <v>82</v>
      </c>
      <c r="D54" s="115" t="str">
        <f t="shared" ref="D54:D64" si="3">IF($D$7="","",$D$7)</f>
        <v>zł</v>
      </c>
      <c r="E54" s="157"/>
      <c r="F54" s="157"/>
      <c r="G54" s="157"/>
    </row>
    <row r="55" spans="2:7" s="100" customFormat="1" ht="20.100000000000001" customHeight="1">
      <c r="B55" s="116" t="s">
        <v>165</v>
      </c>
      <c r="C55" s="117" t="s">
        <v>83</v>
      </c>
      <c r="D55" s="115" t="str">
        <f t="shared" si="3"/>
        <v>zł</v>
      </c>
      <c r="E55" s="157"/>
      <c r="F55" s="157"/>
      <c r="G55" s="157"/>
    </row>
    <row r="56" spans="2:7" s="100" customFormat="1" ht="20.100000000000001" customHeight="1">
      <c r="B56" s="116" t="s">
        <v>168</v>
      </c>
      <c r="C56" s="117" t="s">
        <v>84</v>
      </c>
      <c r="D56" s="115" t="str">
        <f t="shared" si="3"/>
        <v>zł</v>
      </c>
      <c r="E56" s="160"/>
      <c r="F56" s="160"/>
      <c r="G56" s="160"/>
    </row>
    <row r="57" spans="2:7" s="105" customFormat="1" ht="20.100000000000001" customHeight="1">
      <c r="B57" s="118" t="s">
        <v>148</v>
      </c>
      <c r="C57" s="119" t="s">
        <v>85</v>
      </c>
      <c r="D57" s="120" t="str">
        <f t="shared" si="3"/>
        <v>zł</v>
      </c>
      <c r="E57" s="158"/>
      <c r="F57" s="158"/>
      <c r="G57" s="158"/>
    </row>
    <row r="58" spans="2:7" s="105" customFormat="1" ht="20.100000000000001" customHeight="1">
      <c r="B58" s="118" t="s">
        <v>149</v>
      </c>
      <c r="C58" s="119" t="s">
        <v>86</v>
      </c>
      <c r="D58" s="120" t="str">
        <f t="shared" si="3"/>
        <v>zł</v>
      </c>
      <c r="E58" s="161" t="str">
        <f t="shared" ref="E58:G58" si="4">IF(AND(ISBLANK(E59),ISBLANK(E60),ISBLANK(E61)),"",SUM(E59:E61))</f>
        <v/>
      </c>
      <c r="F58" s="161" t="str">
        <f t="shared" si="4"/>
        <v/>
      </c>
      <c r="G58" s="161" t="str">
        <f t="shared" si="4"/>
        <v/>
      </c>
    </row>
    <row r="59" spans="2:7" s="105" customFormat="1" ht="20.100000000000001" customHeight="1">
      <c r="B59" s="118" t="s">
        <v>121</v>
      </c>
      <c r="C59" s="119" t="s">
        <v>87</v>
      </c>
      <c r="D59" s="120" t="str">
        <f t="shared" si="3"/>
        <v>zł</v>
      </c>
      <c r="E59" s="158"/>
      <c r="F59" s="158"/>
      <c r="G59" s="158"/>
    </row>
    <row r="60" spans="2:7" s="105" customFormat="1" ht="20.100000000000001" customHeight="1">
      <c r="B60" s="118" t="s">
        <v>122</v>
      </c>
      <c r="C60" s="119" t="s">
        <v>88</v>
      </c>
      <c r="D60" s="120" t="str">
        <f t="shared" si="3"/>
        <v>zł</v>
      </c>
      <c r="E60" s="158"/>
      <c r="F60" s="158"/>
      <c r="G60" s="158"/>
    </row>
    <row r="61" spans="2:7" s="105" customFormat="1" ht="20.100000000000001" customHeight="1">
      <c r="B61" s="118" t="s">
        <v>124</v>
      </c>
      <c r="C61" s="119" t="s">
        <v>89</v>
      </c>
      <c r="D61" s="120" t="str">
        <f t="shared" si="3"/>
        <v>zł</v>
      </c>
      <c r="E61" s="158"/>
      <c r="F61" s="158"/>
      <c r="G61" s="158"/>
    </row>
    <row r="62" spans="2:7" s="100" customFormat="1" ht="20.100000000000001" customHeight="1">
      <c r="B62" s="116" t="s">
        <v>170</v>
      </c>
      <c r="C62" s="117" t="s">
        <v>58</v>
      </c>
      <c r="D62" s="115" t="str">
        <f t="shared" si="3"/>
        <v>zł</v>
      </c>
      <c r="E62" s="160"/>
      <c r="F62" s="160"/>
      <c r="G62" s="160"/>
    </row>
    <row r="63" spans="2:7" s="100" customFormat="1" ht="20.100000000000001" customHeight="1">
      <c r="B63" s="116" t="s">
        <v>172</v>
      </c>
      <c r="C63" s="117" t="s">
        <v>183</v>
      </c>
      <c r="D63" s="115" t="str">
        <f t="shared" si="3"/>
        <v>zł</v>
      </c>
      <c r="E63" s="157"/>
      <c r="F63" s="157"/>
      <c r="G63" s="157"/>
    </row>
    <row r="64" spans="2:7" s="100" customFormat="1" ht="20.100000000000001" customHeight="1">
      <c r="B64" s="116" t="s">
        <v>173</v>
      </c>
      <c r="C64" s="117" t="s">
        <v>184</v>
      </c>
      <c r="D64" s="115" t="str">
        <f t="shared" si="3"/>
        <v>zł</v>
      </c>
      <c r="E64" s="157"/>
      <c r="F64" s="157"/>
      <c r="G64" s="157"/>
    </row>
    <row r="65" spans="1:9" ht="20.100000000000001" customHeight="1"/>
    <row r="66" spans="1:9" s="121" customFormat="1" ht="45" customHeight="1">
      <c r="B66" s="96" t="s">
        <v>142</v>
      </c>
      <c r="C66" s="95" t="s">
        <v>139</v>
      </c>
      <c r="D66" s="96" t="s">
        <v>1</v>
      </c>
      <c r="E66" s="96">
        <f>IF($G$22="","",F66-1)</f>
        <v>2021</v>
      </c>
      <c r="F66" s="96">
        <f>IF($G$22="","",G66-1)</f>
        <v>2022</v>
      </c>
      <c r="G66" s="96">
        <f>IF($G$22="","",$G$22)</f>
        <v>2023</v>
      </c>
      <c r="H66" s="83"/>
    </row>
    <row r="67" spans="1:9" s="105" customFormat="1" ht="30" customHeight="1">
      <c r="B67" s="122" t="s">
        <v>148</v>
      </c>
      <c r="C67" s="119" t="s">
        <v>64</v>
      </c>
      <c r="D67" s="122" t="str">
        <f t="shared" ref="D67:D76" si="5">IF($D$7="","",$D$7)</f>
        <v>zł</v>
      </c>
      <c r="E67" s="123">
        <f>ROUND(E33+E34+E40+E41-E42,1)</f>
        <v>0</v>
      </c>
      <c r="F67" s="123">
        <f t="shared" ref="F67:G67" si="6">ROUND(F33+F34+F40+F41-F42,1)</f>
        <v>0</v>
      </c>
      <c r="G67" s="123">
        <f t="shared" si="6"/>
        <v>0</v>
      </c>
      <c r="H67" s="83"/>
    </row>
    <row r="68" spans="1:9" s="105" customFormat="1" ht="30" customHeight="1">
      <c r="B68" s="122" t="s">
        <v>149</v>
      </c>
      <c r="C68" s="119" t="s">
        <v>63</v>
      </c>
      <c r="D68" s="122" t="str">
        <f t="shared" si="5"/>
        <v>zł</v>
      </c>
      <c r="E68" s="123">
        <f>ROUND((E35+E36+E37+E39)-E34,1)</f>
        <v>0</v>
      </c>
      <c r="F68" s="123">
        <f>ROUND((F35+F36+F37+F39)-F34,1)</f>
        <v>0</v>
      </c>
      <c r="G68" s="123">
        <f>ROUND((G35+G36+G37+G39)-G34,1)</f>
        <v>0</v>
      </c>
      <c r="H68" s="83"/>
    </row>
    <row r="69" spans="1:9" s="105" customFormat="1" ht="30" customHeight="1">
      <c r="B69" s="122" t="s">
        <v>150</v>
      </c>
      <c r="C69" s="119" t="s">
        <v>68</v>
      </c>
      <c r="D69" s="122" t="str">
        <f t="shared" si="5"/>
        <v>zł</v>
      </c>
      <c r="E69" s="123">
        <f>ROUND(E45+E46-E51,1)</f>
        <v>0</v>
      </c>
      <c r="F69" s="123">
        <f>ROUND(F45+F46-F51,1)</f>
        <v>0</v>
      </c>
      <c r="G69" s="123">
        <f>ROUND(G45+G46-G51,1)</f>
        <v>0</v>
      </c>
      <c r="H69" s="83"/>
      <c r="I69" s="83"/>
    </row>
    <row r="70" spans="1:9" s="105" customFormat="1" ht="30" customHeight="1">
      <c r="B70" s="122" t="s">
        <v>151</v>
      </c>
      <c r="C70" s="119" t="s">
        <v>72</v>
      </c>
      <c r="D70" s="122" t="str">
        <f t="shared" si="5"/>
        <v>zł</v>
      </c>
      <c r="E70" s="123">
        <f>ROUND((E47+E48+E49+E50)-E46,1)</f>
        <v>0</v>
      </c>
      <c r="F70" s="123">
        <f>ROUND((F47+F48+F49+F50)-F46,1)</f>
        <v>0</v>
      </c>
      <c r="G70" s="123">
        <f>ROUND((G47+G48+G49+G50)-G46,1)</f>
        <v>0</v>
      </c>
      <c r="H70" s="83"/>
      <c r="I70" s="83"/>
    </row>
    <row r="71" spans="1:9" s="105" customFormat="1" ht="30" customHeight="1">
      <c r="B71" s="122" t="s">
        <v>152</v>
      </c>
      <c r="C71" s="119" t="s">
        <v>65</v>
      </c>
      <c r="D71" s="122" t="str">
        <f t="shared" si="5"/>
        <v>zł</v>
      </c>
      <c r="E71" s="123">
        <f>ROUND(E57-E58-E56,1)</f>
        <v>0</v>
      </c>
      <c r="F71" s="123">
        <f t="shared" ref="F71:G71" si="7">ROUND(F57-F58-F56,1)</f>
        <v>0</v>
      </c>
      <c r="G71" s="123">
        <f t="shared" si="7"/>
        <v>0</v>
      </c>
      <c r="H71" s="83"/>
      <c r="I71" s="83"/>
    </row>
    <row r="72" spans="1:9" s="105" customFormat="1" ht="30" customHeight="1">
      <c r="A72" s="81"/>
      <c r="B72" s="122" t="s">
        <v>155</v>
      </c>
      <c r="C72" s="119" t="s">
        <v>69</v>
      </c>
      <c r="D72" s="122" t="str">
        <f t="shared" si="5"/>
        <v>zł</v>
      </c>
      <c r="E72" s="123">
        <f>ROUND(E54+E55+E56-E62,1)</f>
        <v>0</v>
      </c>
      <c r="F72" s="123">
        <f>ROUND(F54+F55+F56-F62,1)</f>
        <v>0</v>
      </c>
      <c r="G72" s="123">
        <f>ROUND(G54+G55+G56-G62,1)</f>
        <v>0</v>
      </c>
      <c r="H72" s="83"/>
      <c r="I72" s="83"/>
    </row>
    <row r="73" spans="1:9" s="105" customFormat="1" ht="30" customHeight="1">
      <c r="A73" s="81"/>
      <c r="B73" s="122" t="s">
        <v>166</v>
      </c>
      <c r="C73" s="119" t="s">
        <v>70</v>
      </c>
      <c r="D73" s="122" t="str">
        <f t="shared" si="5"/>
        <v>zł</v>
      </c>
      <c r="E73" s="123">
        <f>ROUND(E62+E63-E64,1)</f>
        <v>0</v>
      </c>
      <c r="F73" s="123">
        <f>ROUND(F62+F63-F64,1)</f>
        <v>0</v>
      </c>
      <c r="G73" s="123">
        <f>ROUND(G62+G63-G64,1)</f>
        <v>0</v>
      </c>
      <c r="H73" s="83"/>
      <c r="I73" s="83"/>
    </row>
    <row r="74" spans="1:9" s="105" customFormat="1" ht="30" customHeight="1">
      <c r="A74" s="162"/>
      <c r="B74" s="122" t="s">
        <v>167</v>
      </c>
      <c r="C74" s="119" t="s">
        <v>71</v>
      </c>
      <c r="D74" s="122" t="str">
        <f t="shared" si="5"/>
        <v>zł</v>
      </c>
      <c r="E74" s="123">
        <f>ROUND(E64-E38,1)</f>
        <v>0</v>
      </c>
      <c r="F74" s="123">
        <f>ROUND(F64-F38,1)</f>
        <v>0</v>
      </c>
      <c r="G74" s="123">
        <f>ROUND(G64-G38,1)</f>
        <v>0</v>
      </c>
      <c r="H74" s="83"/>
      <c r="I74" s="83"/>
    </row>
    <row r="75" spans="1:9" s="105" customFormat="1" ht="30" customHeight="1">
      <c r="A75" s="162"/>
      <c r="B75" s="122" t="s">
        <v>181</v>
      </c>
      <c r="C75" s="119" t="s">
        <v>66</v>
      </c>
      <c r="D75" s="122" t="str">
        <f t="shared" si="5"/>
        <v>zł</v>
      </c>
      <c r="E75" s="123">
        <f>ROUND(E51-E42,1)</f>
        <v>0</v>
      </c>
      <c r="F75" s="123">
        <f>ROUND(F51-F42,1)</f>
        <v>0</v>
      </c>
      <c r="G75" s="123">
        <f>ROUND(G51-G42,1)</f>
        <v>0</v>
      </c>
      <c r="H75" s="83"/>
      <c r="I75" s="83"/>
    </row>
    <row r="76" spans="1:9" s="105" customFormat="1" ht="30" customHeight="1">
      <c r="A76" s="162"/>
      <c r="B76" s="122" t="s">
        <v>187</v>
      </c>
      <c r="C76" s="119" t="s">
        <v>67</v>
      </c>
      <c r="D76" s="122" t="str">
        <f t="shared" si="5"/>
        <v>zł</v>
      </c>
      <c r="E76" s="124"/>
      <c r="F76" s="123">
        <f>ROUND(E64-F63,1)</f>
        <v>0</v>
      </c>
      <c r="G76" s="123">
        <f>ROUND(F64-G63,1)</f>
        <v>0</v>
      </c>
      <c r="H76" s="83"/>
      <c r="I76" s="83"/>
    </row>
    <row r="77" spans="1:9"/>
  </sheetData>
  <sheetProtection algorithmName="SHA-512" hashValue="LQT+Gh5mbYAdpQdqQXzn6WOrPmosHdVVXJ3LMYwHuhIT3lkbaaPBL6D6KJSh+tLvXbAMrPGUelZ/cS0L2eJS7g==" saltValue="dTzclk3EogXeLLPbp8rh2g==" spinCount="100000" sheet="1" selectLockedCells="1"/>
  <protectedRanges>
    <protectedRange sqref="C7 B2:G4 G6:G7 F7:F8 F5:H5" name="Zakres1"/>
    <protectedRange sqref="E23:G30" name="Zakres5_1"/>
    <protectedRange sqref="E33:G42" name="Zakres6_1"/>
    <protectedRange sqref="E45:G45" name="Zakres7_1"/>
    <protectedRange sqref="E46:G51" name="Zakres7_2_1"/>
    <protectedRange sqref="E54:G57" name="Zakres8_1"/>
    <protectedRange sqref="E59:G64" name="Zakres9_1"/>
  </protectedRanges>
  <dataConsolidate/>
  <mergeCells count="17">
    <mergeCell ref="B11:C11"/>
    <mergeCell ref="B14:C14"/>
    <mergeCell ref="B19:C19"/>
    <mergeCell ref="B18:C18"/>
    <mergeCell ref="B17:C17"/>
    <mergeCell ref="B16:C16"/>
    <mergeCell ref="B15:C15"/>
    <mergeCell ref="B7:C7"/>
    <mergeCell ref="B5:C5"/>
    <mergeCell ref="B6:C6"/>
    <mergeCell ref="D4:G4"/>
    <mergeCell ref="B10:C10"/>
    <mergeCell ref="B3:C3"/>
    <mergeCell ref="D3:G3"/>
    <mergeCell ref="B2:C2"/>
    <mergeCell ref="D2:G2"/>
    <mergeCell ref="B4:C4"/>
  </mergeCells>
  <phoneticPr fontId="31" type="noConversion"/>
  <conditionalFormatting sqref="E57:G57">
    <cfRule type="cellIs" dxfId="3" priority="1" stopIfTrue="1" operator="lessThan">
      <formula>0</formula>
    </cfRule>
  </conditionalFormatting>
  <conditionalFormatting sqref="E67:G67 E75:G75">
    <cfRule type="cellIs" dxfId="2" priority="27" stopIfTrue="1" operator="notEqual">
      <formula>0</formula>
    </cfRule>
  </conditionalFormatting>
  <conditionalFormatting sqref="E68:G74 E76:G76">
    <cfRule type="cellIs" dxfId="1" priority="28" stopIfTrue="1" operator="notEqual">
      <formula>0</formula>
    </cfRule>
  </conditionalFormatting>
  <dataValidations disablePrompts="1" xWindow="837" yWindow="442" count="2">
    <dataValidation allowBlank="1" showErrorMessage="1" sqref="B2"/>
    <dataValidation allowBlank="1" showInputMessage="1" showErrorMessage="1" prompt="Wpisz nazwę Beneficjenta" sqref="B3:B4"/>
  </dataValidations>
  <printOptions verticalCentered="1"/>
  <pageMargins left="0.78740157480314965" right="0.78740157480314965" top="0.39370078740157483" bottom="0.39370078740157483" header="0.39370078740157483" footer="0.39370078740157483"/>
  <pageSetup paperSize="9" scale="45" orientation="portrait" r:id="rId1"/>
  <headerFooter alignWithMargins="0">
    <oddHeader>&amp;LZałącznik do opinii finansowej - wyniki oceny bieżącej i prognozowanej sytuacji finansowej Wnioskodawcy</oddHeader>
  </headerFooter>
  <ignoredErrors>
    <ignoredError sqref="F1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pageSetUpPr fitToPage="1"/>
  </sheetPr>
  <dimension ref="A1:X287"/>
  <sheetViews>
    <sheetView showGridLines="0" topLeftCell="A247" zoomScale="85" zoomScaleNormal="85" zoomScaleSheetLayoutView="85" workbookViewId="0">
      <selection activeCell="H56" sqref="H56:I56"/>
    </sheetView>
  </sheetViews>
  <sheetFormatPr defaultColWidth="0" defaultRowHeight="12.75" zeroHeight="1"/>
  <cols>
    <col min="1" max="1" width="5.7109375" style="1" customWidth="1"/>
    <col min="2" max="2" width="4.7109375" style="2" customWidth="1"/>
    <col min="3" max="3" width="63.140625" style="1" customWidth="1"/>
    <col min="4" max="4" width="10.7109375" style="2" customWidth="1"/>
    <col min="5" max="6" width="18.7109375" style="1" customWidth="1"/>
    <col min="7" max="7" width="18.7109375" style="2" customWidth="1"/>
    <col min="8" max="8" width="10.7109375" style="1" customWidth="1"/>
    <col min="9" max="12" width="20.7109375" style="1" customWidth="1"/>
    <col min="13" max="13" width="14.7109375" style="1" customWidth="1"/>
    <col min="14" max="14" width="13.85546875" style="1" hidden="1" customWidth="1"/>
    <col min="15" max="16" width="10.7109375" style="1" hidden="1" customWidth="1"/>
    <col min="17" max="17" width="14.42578125" style="1" hidden="1" customWidth="1"/>
    <col min="18" max="24" width="10.7109375" style="1" hidden="1" customWidth="1"/>
    <col min="25" max="16384" width="9.140625" style="1" hidden="1"/>
  </cols>
  <sheetData>
    <row r="1" spans="2:9" ht="20.100000000000001" customHeight="1">
      <c r="C1" s="10"/>
      <c r="D1" s="1"/>
      <c r="G1" s="1"/>
    </row>
    <row r="2" spans="2:9" ht="30" customHeight="1">
      <c r="B2" s="200" t="s">
        <v>31</v>
      </c>
      <c r="C2" s="201"/>
      <c r="D2" s="201"/>
      <c r="E2" s="201"/>
      <c r="F2" s="201"/>
      <c r="G2" s="201"/>
      <c r="H2" s="201"/>
      <c r="I2" s="205"/>
    </row>
    <row r="3" spans="2:9" ht="20.100000000000001" customHeight="1">
      <c r="B3" s="61" t="s">
        <v>142</v>
      </c>
      <c r="C3" s="67" t="s">
        <v>23</v>
      </c>
      <c r="D3" s="200" t="s">
        <v>24</v>
      </c>
      <c r="E3" s="201"/>
      <c r="F3" s="201"/>
      <c r="G3" s="205"/>
      <c r="H3" s="61" t="s">
        <v>25</v>
      </c>
      <c r="I3" s="61" t="s">
        <v>26</v>
      </c>
    </row>
    <row r="4" spans="2:9" ht="15" customHeight="1">
      <c r="B4" s="266" t="s">
        <v>148</v>
      </c>
      <c r="C4" s="267" t="s">
        <v>229</v>
      </c>
      <c r="D4" s="259" t="s">
        <v>218</v>
      </c>
      <c r="E4" s="260"/>
      <c r="F4" s="260"/>
      <c r="G4" s="261"/>
      <c r="H4" s="12">
        <v>10</v>
      </c>
      <c r="I4" s="262">
        <f>IF(OR(ISNUMBER(Wyniki!E57),ISNUMBER(Wyniki!F57),ISNUMBER(Wyniki!G57)),Wyniki!E76,0)</f>
        <v>0</v>
      </c>
    </row>
    <row r="5" spans="2:9" ht="15" customHeight="1">
      <c r="B5" s="266"/>
      <c r="C5" s="267"/>
      <c r="D5" s="268" t="s">
        <v>42</v>
      </c>
      <c r="E5" s="269"/>
      <c r="F5" s="269"/>
      <c r="G5" s="270"/>
      <c r="H5" s="12">
        <v>6</v>
      </c>
      <c r="I5" s="248"/>
    </row>
    <row r="6" spans="2:9" ht="15" customHeight="1">
      <c r="B6" s="266"/>
      <c r="C6" s="267"/>
      <c r="D6" s="268" t="s">
        <v>43</v>
      </c>
      <c r="E6" s="269"/>
      <c r="F6" s="269"/>
      <c r="G6" s="270"/>
      <c r="H6" s="12">
        <v>3</v>
      </c>
      <c r="I6" s="248"/>
    </row>
    <row r="7" spans="2:9" ht="15" customHeight="1">
      <c r="B7" s="257"/>
      <c r="C7" s="258"/>
      <c r="D7" s="263" t="s">
        <v>44</v>
      </c>
      <c r="E7" s="264"/>
      <c r="F7" s="264"/>
      <c r="G7" s="265"/>
      <c r="H7" s="13">
        <v>2</v>
      </c>
      <c r="I7" s="249"/>
    </row>
    <row r="8" spans="2:9" ht="15" customHeight="1">
      <c r="B8" s="256" t="s">
        <v>149</v>
      </c>
      <c r="C8" s="241" t="s">
        <v>230</v>
      </c>
      <c r="D8" s="259" t="s">
        <v>47</v>
      </c>
      <c r="E8" s="260"/>
      <c r="F8" s="260"/>
      <c r="G8" s="261"/>
      <c r="H8" s="12">
        <v>10</v>
      </c>
      <c r="I8" s="262">
        <f>IF(OR(ISNUMBER(Wyniki!E58),ISNUMBER(Wyniki!F58),ISNUMBER(Wyniki!G58)),Wyniki!E77,0)</f>
        <v>0</v>
      </c>
    </row>
    <row r="9" spans="2:9" ht="15" customHeight="1">
      <c r="B9" s="266"/>
      <c r="C9" s="267"/>
      <c r="D9" s="268" t="s">
        <v>48</v>
      </c>
      <c r="E9" s="269"/>
      <c r="F9" s="269"/>
      <c r="G9" s="270"/>
      <c r="H9" s="12">
        <v>8</v>
      </c>
      <c r="I9" s="248"/>
    </row>
    <row r="10" spans="2:9" ht="15" customHeight="1">
      <c r="B10" s="266"/>
      <c r="C10" s="267"/>
      <c r="D10" s="268" t="s">
        <v>49</v>
      </c>
      <c r="E10" s="269"/>
      <c r="F10" s="269"/>
      <c r="G10" s="270"/>
      <c r="H10" s="12">
        <v>0</v>
      </c>
      <c r="I10" s="248"/>
    </row>
    <row r="11" spans="2:9" ht="15" customHeight="1">
      <c r="B11" s="257"/>
      <c r="C11" s="258"/>
      <c r="D11" s="263" t="s">
        <v>44</v>
      </c>
      <c r="E11" s="264"/>
      <c r="F11" s="264"/>
      <c r="G11" s="265"/>
      <c r="H11" s="13">
        <v>5</v>
      </c>
      <c r="I11" s="249"/>
    </row>
    <row r="12" spans="2:9" ht="15" customHeight="1">
      <c r="B12" s="256" t="s">
        <v>150</v>
      </c>
      <c r="C12" s="241" t="s">
        <v>231</v>
      </c>
      <c r="D12" s="259" t="s">
        <v>212</v>
      </c>
      <c r="E12" s="260"/>
      <c r="F12" s="260"/>
      <c r="G12" s="261"/>
      <c r="H12" s="12">
        <v>10</v>
      </c>
      <c r="I12" s="247">
        <f>ROUND(Wyniki!E78,0)</f>
        <v>0</v>
      </c>
    </row>
    <row r="13" spans="2:9" ht="15" customHeight="1">
      <c r="B13" s="266"/>
      <c r="C13" s="267"/>
      <c r="D13" s="268" t="s">
        <v>45</v>
      </c>
      <c r="E13" s="269"/>
      <c r="F13" s="269"/>
      <c r="G13" s="270"/>
      <c r="H13" s="14" t="s">
        <v>28</v>
      </c>
      <c r="I13" s="248"/>
    </row>
    <row r="14" spans="2:9" ht="15" customHeight="1">
      <c r="B14" s="266"/>
      <c r="C14" s="267"/>
      <c r="D14" s="282" t="s">
        <v>46</v>
      </c>
      <c r="E14" s="283"/>
      <c r="F14" s="283"/>
      <c r="G14" s="284"/>
      <c r="H14" s="17">
        <v>0</v>
      </c>
      <c r="I14" s="248"/>
    </row>
    <row r="15" spans="2:9" ht="15" customHeight="1">
      <c r="B15" s="257"/>
      <c r="C15" s="258"/>
      <c r="D15" s="263" t="s">
        <v>220</v>
      </c>
      <c r="E15" s="264"/>
      <c r="F15" s="264"/>
      <c r="G15" s="265"/>
      <c r="H15" s="15">
        <v>0</v>
      </c>
      <c r="I15" s="249"/>
    </row>
    <row r="16" spans="2:9" ht="15" customHeight="1">
      <c r="B16" s="256" t="s">
        <v>151</v>
      </c>
      <c r="C16" s="241" t="s">
        <v>232</v>
      </c>
      <c r="D16" s="259" t="s">
        <v>213</v>
      </c>
      <c r="E16" s="260"/>
      <c r="F16" s="260"/>
      <c r="G16" s="261"/>
      <c r="H16" s="55">
        <v>10</v>
      </c>
      <c r="I16" s="262">
        <f>ROUND(Wyniki!E79,0)</f>
        <v>0</v>
      </c>
    </row>
    <row r="17" spans="2:9" ht="15" customHeight="1">
      <c r="B17" s="266"/>
      <c r="C17" s="267"/>
      <c r="D17" s="268" t="s">
        <v>153</v>
      </c>
      <c r="E17" s="269"/>
      <c r="F17" s="269"/>
      <c r="G17" s="270"/>
      <c r="H17" s="16" t="s">
        <v>249</v>
      </c>
      <c r="I17" s="248"/>
    </row>
    <row r="18" spans="2:9" ht="15" customHeight="1">
      <c r="B18" s="257"/>
      <c r="C18" s="258"/>
      <c r="D18" s="263" t="s">
        <v>154</v>
      </c>
      <c r="E18" s="264"/>
      <c r="F18" s="264"/>
      <c r="G18" s="265"/>
      <c r="H18" s="52">
        <v>0</v>
      </c>
      <c r="I18" s="249"/>
    </row>
    <row r="19" spans="2:9" ht="15" customHeight="1">
      <c r="B19" s="256" t="s">
        <v>152</v>
      </c>
      <c r="C19" s="241" t="s">
        <v>233</v>
      </c>
      <c r="D19" s="259" t="s">
        <v>214</v>
      </c>
      <c r="E19" s="260"/>
      <c r="F19" s="260"/>
      <c r="G19" s="261"/>
      <c r="H19" s="12">
        <v>5</v>
      </c>
      <c r="I19" s="262">
        <f>ROUND(Wyniki!E80,0)</f>
        <v>0</v>
      </c>
    </row>
    <row r="20" spans="2:9" ht="15" customHeight="1">
      <c r="B20" s="266"/>
      <c r="C20" s="267"/>
      <c r="D20" s="268" t="s">
        <v>50</v>
      </c>
      <c r="E20" s="269"/>
      <c r="F20" s="269"/>
      <c r="G20" s="270"/>
      <c r="H20" s="14" t="s">
        <v>52</v>
      </c>
      <c r="I20" s="248"/>
    </row>
    <row r="21" spans="2:9" ht="15" customHeight="1">
      <c r="B21" s="257"/>
      <c r="C21" s="258"/>
      <c r="D21" s="263" t="s">
        <v>46</v>
      </c>
      <c r="E21" s="264"/>
      <c r="F21" s="264"/>
      <c r="G21" s="265"/>
      <c r="H21" s="13">
        <v>0</v>
      </c>
      <c r="I21" s="249"/>
    </row>
    <row r="22" spans="2:9" ht="15" customHeight="1">
      <c r="B22" s="256" t="s">
        <v>155</v>
      </c>
      <c r="C22" s="241" t="s">
        <v>234</v>
      </c>
      <c r="D22" s="259" t="s">
        <v>215</v>
      </c>
      <c r="E22" s="260"/>
      <c r="F22" s="260"/>
      <c r="G22" s="261"/>
      <c r="H22" s="12">
        <v>5</v>
      </c>
      <c r="I22" s="262">
        <f>ROUND(Wyniki!E81,0)</f>
        <v>0</v>
      </c>
    </row>
    <row r="23" spans="2:9" ht="15" customHeight="1">
      <c r="B23" s="266"/>
      <c r="C23" s="267"/>
      <c r="D23" s="268" t="s">
        <v>51</v>
      </c>
      <c r="E23" s="269"/>
      <c r="F23" s="269"/>
      <c r="G23" s="270"/>
      <c r="H23" s="17" t="s">
        <v>250</v>
      </c>
      <c r="I23" s="248"/>
    </row>
    <row r="24" spans="2:9" ht="15" customHeight="1">
      <c r="B24" s="257"/>
      <c r="C24" s="258"/>
      <c r="D24" s="263" t="s">
        <v>76</v>
      </c>
      <c r="E24" s="264"/>
      <c r="F24" s="264"/>
      <c r="G24" s="265"/>
      <c r="H24" s="13">
        <v>0</v>
      </c>
      <c r="I24" s="249"/>
    </row>
    <row r="25" spans="2:9" ht="15" customHeight="1">
      <c r="B25" s="262" t="s">
        <v>166</v>
      </c>
      <c r="C25" s="273" t="s">
        <v>235</v>
      </c>
      <c r="D25" s="275" t="s">
        <v>216</v>
      </c>
      <c r="E25" s="276"/>
      <c r="F25" s="276"/>
      <c r="G25" s="277"/>
      <c r="H25" s="53">
        <v>0</v>
      </c>
      <c r="I25" s="262">
        <f>IF(OR(ISNUMBER(Wyniki!E63),ISNUMBER(Wyniki!F63),ISNUMBER(Wyniki!G63)),Wyniki!E82,0)</f>
        <v>0</v>
      </c>
    </row>
    <row r="26" spans="2:9" ht="15" customHeight="1">
      <c r="B26" s="248"/>
      <c r="C26" s="274"/>
      <c r="D26" s="279" t="s">
        <v>74</v>
      </c>
      <c r="E26" s="280"/>
      <c r="F26" s="280"/>
      <c r="G26" s="281"/>
      <c r="H26" s="54" t="s">
        <v>28</v>
      </c>
      <c r="I26" s="248"/>
    </row>
    <row r="27" spans="2:9" ht="20.100000000000001" customHeight="1">
      <c r="B27" s="219" t="s">
        <v>167</v>
      </c>
      <c r="C27" s="271" t="s">
        <v>236</v>
      </c>
      <c r="D27" s="244" t="s">
        <v>217</v>
      </c>
      <c r="E27" s="245"/>
      <c r="F27" s="245"/>
      <c r="G27" s="246"/>
      <c r="H27" s="53">
        <v>10</v>
      </c>
      <c r="I27" s="262">
        <f>ROUND(Wyniki!E83,0)</f>
        <v>10</v>
      </c>
    </row>
    <row r="28" spans="2:9" ht="20.100000000000001" customHeight="1">
      <c r="B28" s="219"/>
      <c r="C28" s="271"/>
      <c r="D28" s="250" t="s">
        <v>9</v>
      </c>
      <c r="E28" s="251"/>
      <c r="F28" s="251"/>
      <c r="G28" s="252"/>
      <c r="H28" s="18" t="s">
        <v>249</v>
      </c>
      <c r="I28" s="248"/>
    </row>
    <row r="29" spans="2:9" ht="20.100000000000001" customHeight="1">
      <c r="B29" s="278"/>
      <c r="C29" s="272"/>
      <c r="D29" s="253" t="s">
        <v>29</v>
      </c>
      <c r="E29" s="254"/>
      <c r="F29" s="254"/>
      <c r="G29" s="255"/>
      <c r="H29" s="54">
        <v>0</v>
      </c>
      <c r="I29" s="248"/>
    </row>
    <row r="30" spans="2:9" ht="15" customHeight="1">
      <c r="B30" s="256" t="s">
        <v>181</v>
      </c>
      <c r="C30" s="241" t="s">
        <v>237</v>
      </c>
      <c r="D30" s="259" t="s">
        <v>77</v>
      </c>
      <c r="E30" s="260"/>
      <c r="F30" s="260"/>
      <c r="G30" s="261"/>
      <c r="H30" s="12">
        <v>10</v>
      </c>
      <c r="I30" s="247">
        <f>ROUND(Wyniki!E84,0)</f>
        <v>0</v>
      </c>
    </row>
    <row r="31" spans="2:9" ht="15" customHeight="1">
      <c r="B31" s="266"/>
      <c r="C31" s="267"/>
      <c r="D31" s="268" t="s">
        <v>90</v>
      </c>
      <c r="E31" s="269"/>
      <c r="F31" s="269"/>
      <c r="G31" s="270"/>
      <c r="H31" s="14" t="s">
        <v>28</v>
      </c>
      <c r="I31" s="248"/>
    </row>
    <row r="32" spans="2:9" ht="15" customHeight="1">
      <c r="B32" s="257"/>
      <c r="C32" s="258"/>
      <c r="D32" s="263" t="s">
        <v>78</v>
      </c>
      <c r="E32" s="264"/>
      <c r="F32" s="264"/>
      <c r="G32" s="265"/>
      <c r="H32" s="13">
        <v>0</v>
      </c>
      <c r="I32" s="249"/>
    </row>
    <row r="33" spans="2:9" ht="15" customHeight="1">
      <c r="B33" s="256" t="s">
        <v>187</v>
      </c>
      <c r="C33" s="241" t="s">
        <v>238</v>
      </c>
      <c r="D33" s="259" t="s">
        <v>213</v>
      </c>
      <c r="E33" s="260"/>
      <c r="F33" s="260"/>
      <c r="G33" s="261"/>
      <c r="H33" s="12">
        <v>5</v>
      </c>
      <c r="I33" s="262">
        <f>ROUND(E85,0)</f>
        <v>0</v>
      </c>
    </row>
    <row r="34" spans="2:9" ht="15" customHeight="1">
      <c r="B34" s="266"/>
      <c r="C34" s="267"/>
      <c r="D34" s="268" t="s">
        <v>27</v>
      </c>
      <c r="E34" s="269"/>
      <c r="F34" s="269"/>
      <c r="G34" s="270"/>
      <c r="H34" s="17" t="s">
        <v>250</v>
      </c>
      <c r="I34" s="248"/>
    </row>
    <row r="35" spans="2:9" ht="15" customHeight="1">
      <c r="B35" s="257"/>
      <c r="C35" s="258"/>
      <c r="D35" s="263" t="s">
        <v>75</v>
      </c>
      <c r="E35" s="264"/>
      <c r="F35" s="264"/>
      <c r="G35" s="265"/>
      <c r="H35" s="13">
        <v>0</v>
      </c>
      <c r="I35" s="249"/>
    </row>
    <row r="36" spans="2:9" ht="20.100000000000001" customHeight="1">
      <c r="B36" s="256" t="s">
        <v>188</v>
      </c>
      <c r="C36" s="241" t="s">
        <v>239</v>
      </c>
      <c r="D36" s="259" t="s">
        <v>53</v>
      </c>
      <c r="E36" s="260"/>
      <c r="F36" s="260"/>
      <c r="G36" s="261"/>
      <c r="H36" s="12">
        <v>5</v>
      </c>
      <c r="I36" s="262">
        <f>ROUND(Wyniki!E86,0)</f>
        <v>0</v>
      </c>
    </row>
    <row r="37" spans="2:9" ht="20.100000000000001" customHeight="1">
      <c r="B37" s="257"/>
      <c r="C37" s="258"/>
      <c r="D37" s="263" t="s">
        <v>54</v>
      </c>
      <c r="E37" s="264"/>
      <c r="F37" s="264"/>
      <c r="G37" s="265"/>
      <c r="H37" s="13">
        <v>0</v>
      </c>
      <c r="I37" s="249"/>
    </row>
    <row r="38" spans="2:9" ht="24.95" customHeight="1">
      <c r="B38" s="219" t="s">
        <v>36</v>
      </c>
      <c r="C38" s="241" t="s">
        <v>240</v>
      </c>
      <c r="D38" s="244" t="s">
        <v>217</v>
      </c>
      <c r="E38" s="245"/>
      <c r="F38" s="245"/>
      <c r="G38" s="246"/>
      <c r="H38" s="58">
        <v>10</v>
      </c>
      <c r="I38" s="247" t="str">
        <f>IF(ISNUMBER(E87),ROUND(Wyniki!E87,0),"0")</f>
        <v>0</v>
      </c>
    </row>
    <row r="39" spans="2:9" ht="24.95" customHeight="1">
      <c r="B39" s="219"/>
      <c r="C39" s="242"/>
      <c r="D39" s="250" t="s">
        <v>55</v>
      </c>
      <c r="E39" s="251"/>
      <c r="F39" s="251"/>
      <c r="G39" s="252"/>
      <c r="H39" s="19" t="s">
        <v>249</v>
      </c>
      <c r="I39" s="248"/>
    </row>
    <row r="40" spans="2:9" ht="24.95" customHeight="1">
      <c r="B40" s="219"/>
      <c r="C40" s="243"/>
      <c r="D40" s="253" t="s">
        <v>57</v>
      </c>
      <c r="E40" s="254"/>
      <c r="F40" s="254"/>
      <c r="G40" s="255"/>
      <c r="H40" s="20">
        <v>0</v>
      </c>
      <c r="I40" s="249"/>
    </row>
    <row r="41" spans="2:9" ht="30" customHeight="1">
      <c r="B41" s="223" t="s">
        <v>30</v>
      </c>
      <c r="C41" s="224"/>
      <c r="D41" s="224"/>
      <c r="E41" s="224"/>
      <c r="F41" s="224"/>
      <c r="G41" s="225"/>
      <c r="H41" s="21"/>
      <c r="I41" s="22">
        <f>SUM(I4:I40)</f>
        <v>10</v>
      </c>
    </row>
    <row r="42" spans="2:9" ht="30" customHeight="1">
      <c r="B42" s="226" t="s">
        <v>125</v>
      </c>
      <c r="C42" s="227"/>
      <c r="D42" s="227"/>
      <c r="E42" s="227"/>
      <c r="F42" s="227"/>
      <c r="G42" s="228"/>
      <c r="H42" s="221" t="str">
        <f>IF(I41&gt;75,"Wysoka",IF(I41&gt;59,"Dobra",IF(I41&gt;49,"Zadawalająca",IF(I41&gt;32,"Niska","Zła/trudności finansowe"))))</f>
        <v>Zła/trudności finansowe</v>
      </c>
      <c r="I42" s="222"/>
    </row>
    <row r="43" spans="2:9" ht="30" customHeight="1">
      <c r="B43" s="229" t="str">
        <f>IF('Dane finansowe'!B2="","",'Dane finansowe'!B2)</f>
        <v>Nazwa Beneficjenta:</v>
      </c>
      <c r="C43" s="230"/>
      <c r="D43" s="223" t="str">
        <f>IF('Dane finansowe'!E2="","",'Dane finansowe'!E2)</f>
        <v/>
      </c>
      <c r="E43" s="231"/>
      <c r="F43" s="231"/>
      <c r="G43" s="231"/>
      <c r="H43" s="231"/>
      <c r="I43" s="232"/>
    </row>
    <row r="44" spans="2:9" ht="30" hidden="1" customHeight="1">
      <c r="B44" s="229" t="str">
        <f>IF('Dane finansowe'!B4="","",'Dane finansowe'!B4)</f>
        <v>Program Fundusze Europejskie na Infrastrukturę, Klimat, Środowisko 2021-2027</v>
      </c>
      <c r="C44" s="230"/>
      <c r="D44" s="223" t="str">
        <f>IF('Dane finansowe'!E4="","",'Dane finansowe'!E4)</f>
        <v/>
      </c>
      <c r="E44" s="231"/>
      <c r="F44" s="231"/>
      <c r="G44" s="231"/>
      <c r="H44" s="231"/>
      <c r="I44" s="232"/>
    </row>
    <row r="45" spans="2:9" ht="30" customHeight="1">
      <c r="B45" s="234" t="s">
        <v>56</v>
      </c>
      <c r="C45" s="235"/>
      <c r="D45" s="235"/>
      <c r="E45" s="235"/>
      <c r="F45" s="235"/>
      <c r="G45" s="235"/>
      <c r="H45" s="235"/>
      <c r="I45" s="236"/>
    </row>
    <row r="46" spans="2:9" s="25" customFormat="1" ht="20.100000000000001" customHeight="1">
      <c r="B46" s="23" t="s">
        <v>142</v>
      </c>
      <c r="C46" s="24" t="s">
        <v>125</v>
      </c>
      <c r="D46" s="237" t="s">
        <v>126</v>
      </c>
      <c r="E46" s="238"/>
      <c r="F46" s="238"/>
      <c r="G46" s="238"/>
      <c r="H46" s="238"/>
      <c r="I46" s="239"/>
    </row>
    <row r="47" spans="2:9" ht="20.100000000000001" customHeight="1">
      <c r="B47" s="4" t="s">
        <v>148</v>
      </c>
      <c r="C47" s="75" t="s">
        <v>157</v>
      </c>
      <c r="D47" s="233" t="s">
        <v>143</v>
      </c>
      <c r="E47" s="233"/>
      <c r="F47" s="233"/>
      <c r="G47" s="233"/>
      <c r="H47" s="233"/>
      <c r="I47" s="233"/>
    </row>
    <row r="48" spans="2:9" ht="20.100000000000001" customHeight="1">
      <c r="B48" s="4" t="s">
        <v>149</v>
      </c>
      <c r="C48" s="75" t="s">
        <v>158</v>
      </c>
      <c r="D48" s="233" t="s">
        <v>144</v>
      </c>
      <c r="E48" s="233"/>
      <c r="F48" s="233"/>
      <c r="G48" s="233"/>
      <c r="H48" s="233"/>
      <c r="I48" s="233"/>
    </row>
    <row r="49" spans="2:9" ht="20.100000000000001" customHeight="1">
      <c r="B49" s="4" t="s">
        <v>150</v>
      </c>
      <c r="C49" s="75" t="s">
        <v>159</v>
      </c>
      <c r="D49" s="233" t="s">
        <v>145</v>
      </c>
      <c r="E49" s="233"/>
      <c r="F49" s="233"/>
      <c r="G49" s="233"/>
      <c r="H49" s="233"/>
      <c r="I49" s="233"/>
    </row>
    <row r="50" spans="2:9" ht="20.100000000000001" customHeight="1">
      <c r="B50" s="4" t="s">
        <v>151</v>
      </c>
      <c r="C50" s="75" t="s">
        <v>160</v>
      </c>
      <c r="D50" s="233" t="s">
        <v>146</v>
      </c>
      <c r="E50" s="233"/>
      <c r="F50" s="233"/>
      <c r="G50" s="233"/>
      <c r="H50" s="233"/>
      <c r="I50" s="233"/>
    </row>
    <row r="51" spans="2:9" ht="20.100000000000001" customHeight="1">
      <c r="B51" s="4" t="s">
        <v>152</v>
      </c>
      <c r="C51" s="75" t="s">
        <v>161</v>
      </c>
      <c r="D51" s="233" t="s">
        <v>147</v>
      </c>
      <c r="E51" s="233"/>
      <c r="F51" s="233"/>
      <c r="G51" s="233"/>
      <c r="H51" s="233"/>
      <c r="I51" s="233"/>
    </row>
    <row r="52" spans="2:9" ht="15" customHeight="1">
      <c r="C52" s="10"/>
      <c r="D52" s="1"/>
      <c r="F52" s="25"/>
      <c r="G52" s="1"/>
    </row>
    <row r="53" spans="2:9" ht="20.100000000000001" customHeight="1">
      <c r="C53" s="10"/>
      <c r="D53" s="1"/>
      <c r="F53" s="25"/>
      <c r="G53" s="1"/>
    </row>
    <row r="54" spans="2:9" s="26" customFormat="1" ht="15" customHeight="1"/>
    <row r="55" spans="2:9" ht="30" customHeight="1">
      <c r="B55" s="240" t="s">
        <v>111</v>
      </c>
      <c r="C55" s="240"/>
      <c r="D55" s="240"/>
      <c r="E55" s="240"/>
      <c r="F55" s="240"/>
      <c r="G55" s="240"/>
      <c r="H55" s="240"/>
      <c r="I55" s="240"/>
    </row>
    <row r="56" spans="2:9" s="28" customFormat="1" ht="26.1" customHeight="1">
      <c r="B56" s="11" t="s">
        <v>142</v>
      </c>
      <c r="C56" s="27" t="s">
        <v>156</v>
      </c>
      <c r="D56" s="27" t="s">
        <v>1</v>
      </c>
      <c r="E56" s="27">
        <f>'Dane finansowe'!E22</f>
        <v>2021</v>
      </c>
      <c r="F56" s="27">
        <f>'Dane finansowe'!F22</f>
        <v>2022</v>
      </c>
      <c r="G56" s="27">
        <f>'Dane finansowe'!G22</f>
        <v>2023</v>
      </c>
      <c r="H56" s="221" t="s">
        <v>23</v>
      </c>
      <c r="I56" s="222"/>
    </row>
    <row r="57" spans="2:9" ht="26.1" customHeight="1">
      <c r="B57" s="59" t="s">
        <v>148</v>
      </c>
      <c r="C57" s="75" t="s">
        <v>191</v>
      </c>
      <c r="D57" s="4" t="str">
        <f>IF('Dane finansowe'!D7="","",'Dane finansowe'!D7)</f>
        <v>zł</v>
      </c>
      <c r="E57" s="131" t="str">
        <f>IF('Dane finansowe'!E23=0,"",('Dane finansowe'!E23))</f>
        <v/>
      </c>
      <c r="F57" s="131" t="str">
        <f>IF('Dane finansowe'!F23=0,"",('Dane finansowe'!F23))</f>
        <v/>
      </c>
      <c r="G57" s="131" t="str">
        <f>IF('Dane finansowe'!G23=0,"",('Dane finansowe'!G23))</f>
        <v/>
      </c>
      <c r="H57" s="219" t="s">
        <v>97</v>
      </c>
      <c r="I57" s="220"/>
    </row>
    <row r="58" spans="2:9" ht="26.1" customHeight="1">
      <c r="B58" s="59" t="s">
        <v>149</v>
      </c>
      <c r="C58" s="75" t="s">
        <v>192</v>
      </c>
      <c r="D58" s="53" t="s">
        <v>186</v>
      </c>
      <c r="E58" s="135" t="str">
        <f>IF('Dane finansowe'!E23=0,"",'Dane finansowe'!E26/'Dane finansowe'!E23)</f>
        <v/>
      </c>
      <c r="F58" s="135" t="str">
        <f>IF('Dane finansowe'!F23=0,"",'Dane finansowe'!F26/'Dane finansowe'!F23)</f>
        <v/>
      </c>
      <c r="G58" s="135" t="str">
        <f>IF('Dane finansowe'!G23=0,"",'Dane finansowe'!G26/'Dane finansowe'!G23)</f>
        <v/>
      </c>
      <c r="H58" s="219" t="s">
        <v>98</v>
      </c>
      <c r="I58" s="220"/>
    </row>
    <row r="59" spans="2:9" ht="26.1" customHeight="1">
      <c r="B59" s="59" t="s">
        <v>150</v>
      </c>
      <c r="C59" s="75" t="s">
        <v>193</v>
      </c>
      <c r="D59" s="4" t="s">
        <v>186</v>
      </c>
      <c r="E59" s="143" t="str">
        <f>IF('Dane finansowe'!E45=0,"",'Dane finansowe'!E30/'Dane finansowe'!E45)</f>
        <v/>
      </c>
      <c r="F59" s="143" t="str">
        <f>IF('Dane finansowe'!F45=0,"",'Dane finansowe'!F30/'Dane finansowe'!F45)</f>
        <v/>
      </c>
      <c r="G59" s="143" t="str">
        <f>IF('Dane finansowe'!G45=0,"",'Dane finansowe'!G30/'Dane finansowe'!G45)</f>
        <v/>
      </c>
      <c r="H59" s="219" t="s">
        <v>96</v>
      </c>
      <c r="I59" s="220"/>
    </row>
    <row r="60" spans="2:9" ht="26.1" customHeight="1">
      <c r="B60" s="59" t="s">
        <v>151</v>
      </c>
      <c r="C60" s="75" t="s">
        <v>194</v>
      </c>
      <c r="D60" s="4" t="s">
        <v>5</v>
      </c>
      <c r="E60" s="137" t="str">
        <f>IF(ISNUMBER('Dane finansowe'!E49),IF('Dane finansowe'!E49=0,1.1,('Dane finansowe'!E34-'Dane finansowe'!E35)/'Dane finansowe'!E49),"")</f>
        <v/>
      </c>
      <c r="F60" s="137" t="str">
        <f>IF(ISNUMBER('Dane finansowe'!F49),IF('Dane finansowe'!F49=0,1.1,('Dane finansowe'!F34-'Dane finansowe'!F35)/'Dane finansowe'!F49),"")</f>
        <v/>
      </c>
      <c r="G60" s="137" t="str">
        <f>IF(ISNUMBER('Dane finansowe'!G49),IF('Dane finansowe'!G49=0,1.1,('Dane finansowe'!G34-'Dane finansowe'!G35)/'Dane finansowe'!G49),"")</f>
        <v/>
      </c>
      <c r="H60" s="219" t="s">
        <v>99</v>
      </c>
      <c r="I60" s="220"/>
    </row>
    <row r="61" spans="2:9" ht="26.1" customHeight="1">
      <c r="B61" s="59" t="s">
        <v>152</v>
      </c>
      <c r="C61" s="75" t="s">
        <v>195</v>
      </c>
      <c r="D61" s="4" t="s">
        <v>186</v>
      </c>
      <c r="E61" s="143" t="str">
        <f>IF('Dane finansowe'!E46=0,"",'Dane finansowe'!E54/'Dane finansowe'!E46)</f>
        <v/>
      </c>
      <c r="F61" s="143" t="str">
        <f>IF('Dane finansowe'!F46=0,"",'Dane finansowe'!F54/'Dane finansowe'!F46)</f>
        <v/>
      </c>
      <c r="G61" s="143" t="str">
        <f>IF('Dane finansowe'!G46=0,"",'Dane finansowe'!G54/'Dane finansowe'!G46)</f>
        <v/>
      </c>
      <c r="H61" s="219" t="s">
        <v>100</v>
      </c>
      <c r="I61" s="220"/>
    </row>
    <row r="62" spans="2:9" ht="26.1" customHeight="1">
      <c r="B62" s="59" t="s">
        <v>155</v>
      </c>
      <c r="C62" s="75" t="s">
        <v>196</v>
      </c>
      <c r="D62" s="4" t="s">
        <v>186</v>
      </c>
      <c r="E62" s="143" t="str">
        <f>IF('Dane finansowe'!E42=0,"",'Dane finansowe'!E45/'Dane finansowe'!E42)</f>
        <v/>
      </c>
      <c r="F62" s="143" t="str">
        <f>IF('Dane finansowe'!F42=0,"",'Dane finansowe'!F45/'Dane finansowe'!F42)</f>
        <v/>
      </c>
      <c r="G62" s="143" t="str">
        <f>IF('Dane finansowe'!G42=0,"",'Dane finansowe'!G45/'Dane finansowe'!G42)</f>
        <v/>
      </c>
      <c r="H62" s="219" t="s">
        <v>101</v>
      </c>
      <c r="I62" s="220"/>
    </row>
    <row r="63" spans="2:9" ht="26.1" customHeight="1">
      <c r="B63" s="59" t="s">
        <v>166</v>
      </c>
      <c r="C63" s="75" t="s">
        <v>197</v>
      </c>
      <c r="D63" s="4" t="s">
        <v>5</v>
      </c>
      <c r="E63" s="131" t="str">
        <f>IF('Dane finansowe'!E42=0,"",('Dane finansowe'!E46-'Dane finansowe'!E50)/'Dane finansowe'!E42)</f>
        <v/>
      </c>
      <c r="F63" s="131" t="str">
        <f>IF('Dane finansowe'!F42=0,"",('Dane finansowe'!F46-'Dane finansowe'!F50)/'Dane finansowe'!F42)</f>
        <v/>
      </c>
      <c r="G63" s="131" t="str">
        <f>IF('Dane finansowe'!G42=0,"",('Dane finansowe'!G46-'Dane finansowe'!G50)/'Dane finansowe'!G42)</f>
        <v/>
      </c>
      <c r="H63" s="219" t="s">
        <v>102</v>
      </c>
      <c r="I63" s="220"/>
    </row>
    <row r="64" spans="2:9" ht="57.75" customHeight="1">
      <c r="B64" s="59" t="s">
        <v>167</v>
      </c>
      <c r="C64" s="75" t="s">
        <v>198</v>
      </c>
      <c r="D64" s="4" t="s">
        <v>73</v>
      </c>
      <c r="E64" s="146">
        <f t="shared" ref="E64:G64" si="0">IF(E184=0,2,IF(E184="","",E185))</f>
        <v>2</v>
      </c>
      <c r="F64" s="146">
        <f t="shared" si="0"/>
        <v>2</v>
      </c>
      <c r="G64" s="146">
        <f t="shared" si="0"/>
        <v>2</v>
      </c>
      <c r="H64" s="219" t="s">
        <v>103</v>
      </c>
      <c r="I64" s="220"/>
    </row>
    <row r="65" spans="2:9" ht="37.5" customHeight="1">
      <c r="B65" s="59" t="s">
        <v>181</v>
      </c>
      <c r="C65" s="56" t="s">
        <v>199</v>
      </c>
      <c r="D65" s="295"/>
      <c r="E65" s="296"/>
      <c r="F65" s="296"/>
      <c r="G65" s="297"/>
      <c r="H65" s="219" t="s">
        <v>104</v>
      </c>
      <c r="I65" s="220"/>
    </row>
    <row r="66" spans="2:9" ht="26.1" customHeight="1">
      <c r="B66" s="4" t="s">
        <v>91</v>
      </c>
      <c r="C66" s="75" t="s">
        <v>79</v>
      </c>
      <c r="D66" s="29" t="s">
        <v>35</v>
      </c>
      <c r="E66" s="147" t="str">
        <f>IF('Dane finansowe'!E23=0,"",(('Dane finansowe'!E35/'Dane finansowe'!E23)*365))</f>
        <v/>
      </c>
      <c r="F66" s="147" t="str">
        <f>IF('Dane finansowe'!F23=0,"",(('Dane finansowe'!F35/'Dane finansowe'!F23)*365))</f>
        <v/>
      </c>
      <c r="G66" s="147" t="str">
        <f>IF('Dane finansowe'!G23=0,"",(('Dane finansowe'!G35/'Dane finansowe'!G23)*365))</f>
        <v/>
      </c>
      <c r="H66" s="219" t="s">
        <v>108</v>
      </c>
      <c r="I66" s="220"/>
    </row>
    <row r="67" spans="2:9" ht="26.1" customHeight="1">
      <c r="B67" s="4" t="s">
        <v>92</v>
      </c>
      <c r="C67" s="75" t="s">
        <v>80</v>
      </c>
      <c r="D67" s="30" t="s">
        <v>35</v>
      </c>
      <c r="E67" s="148" t="str">
        <f>IF('Dane finansowe'!E23=0,"",(('Dane finansowe'!E36/'Dane finansowe'!E23)*365))</f>
        <v/>
      </c>
      <c r="F67" s="148" t="str">
        <f>IF('Dane finansowe'!F23=0,"",(('Dane finansowe'!F36/'Dane finansowe'!F23)*365))</f>
        <v/>
      </c>
      <c r="G67" s="148" t="str">
        <f>IF('Dane finansowe'!G23=0,"",(('Dane finansowe'!G36/'Dane finansowe'!G23)*365))</f>
        <v/>
      </c>
      <c r="H67" s="219" t="s">
        <v>109</v>
      </c>
      <c r="I67" s="220"/>
    </row>
    <row r="68" spans="2:9" ht="26.1" customHeight="1">
      <c r="B68" s="4" t="s">
        <v>93</v>
      </c>
      <c r="C68" s="75" t="s">
        <v>81</v>
      </c>
      <c r="D68" s="30" t="s">
        <v>35</v>
      </c>
      <c r="E68" s="148" t="str">
        <f>IF('Dane finansowe'!E23=0,"",(('Dane finansowe'!E49/'Dane finansowe'!E23)*365))</f>
        <v/>
      </c>
      <c r="F68" s="148" t="str">
        <f>IF('Dane finansowe'!F23=0,"",(('Dane finansowe'!F49/'Dane finansowe'!F23)*365))</f>
        <v/>
      </c>
      <c r="G68" s="148" t="str">
        <f>IF('Dane finansowe'!G23=0,"",(('Dane finansowe'!G49/'Dane finansowe'!G23)*365))</f>
        <v/>
      </c>
      <c r="H68" s="219" t="s">
        <v>110</v>
      </c>
      <c r="I68" s="220"/>
    </row>
    <row r="69" spans="2:9" ht="26.1" customHeight="1">
      <c r="B69" s="59" t="s">
        <v>187</v>
      </c>
      <c r="C69" s="75" t="s">
        <v>200</v>
      </c>
      <c r="D69" s="4" t="s">
        <v>5</v>
      </c>
      <c r="E69" s="137" t="str">
        <f>IF('Dane finansowe'!E33=0,"",'Dane finansowe'!E45/'Dane finansowe'!E33)</f>
        <v/>
      </c>
      <c r="F69" s="137" t="str">
        <f>IF('Dane finansowe'!F33=0,"",'Dane finansowe'!F45/'Dane finansowe'!F33)</f>
        <v/>
      </c>
      <c r="G69" s="137" t="str">
        <f>IF('Dane finansowe'!G33=0,"",'Dane finansowe'!G45/'Dane finansowe'!G33)</f>
        <v/>
      </c>
      <c r="H69" s="219" t="s">
        <v>105</v>
      </c>
      <c r="I69" s="220"/>
    </row>
    <row r="70" spans="2:9" ht="26.1" customHeight="1">
      <c r="B70" s="59" t="s">
        <v>188</v>
      </c>
      <c r="C70" s="75" t="s">
        <v>201</v>
      </c>
      <c r="D70" s="4" t="s">
        <v>0</v>
      </c>
      <c r="E70" s="149" t="str">
        <f>IF('Dane finansowe'!E42=0,"",IF(E59&gt;(('Dane finansowe'!E30+'Dane finansowe'!E28+'Dane finansowe'!E29)/'Dane finansowe'!E42),"TAK","NIE"))</f>
        <v/>
      </c>
      <c r="F70" s="149" t="str">
        <f>IF('Dane finansowe'!F42=0,"",IF(F59&gt;(('Dane finansowe'!F30+'Dane finansowe'!F28+'Dane finansowe'!F29)/'Dane finansowe'!F42),"TAK","NIE"))</f>
        <v/>
      </c>
      <c r="G70" s="149" t="str">
        <f>IF('Dane finansowe'!G42=0,"",IF(G59&gt;(('Dane finansowe'!G30+'Dane finansowe'!G28+'Dane finansowe'!G29)/'Dane finansowe'!G42),"TAK","NIE"))</f>
        <v/>
      </c>
      <c r="H70" s="219" t="s">
        <v>106</v>
      </c>
      <c r="I70" s="220"/>
    </row>
    <row r="71" spans="2:9" ht="26.1" customHeight="1">
      <c r="B71" s="59" t="s">
        <v>36</v>
      </c>
      <c r="C71" s="75" t="s">
        <v>202</v>
      </c>
      <c r="D71" s="4" t="s">
        <v>5</v>
      </c>
      <c r="E71" s="137" t="str">
        <f>IF(ISNUMBER(E268),E268,"")</f>
        <v/>
      </c>
      <c r="F71" s="137" t="str">
        <f>IF(ISNUMBER(F268),F268,"")</f>
        <v/>
      </c>
      <c r="G71" s="137" t="str">
        <f>IF(ISNUMBER(G268),G268,"")</f>
        <v/>
      </c>
      <c r="H71" s="219" t="s">
        <v>107</v>
      </c>
      <c r="I71" s="220"/>
    </row>
    <row r="72" spans="2:9" ht="15" customHeight="1">
      <c r="B72" s="206" t="s">
        <v>10</v>
      </c>
      <c r="C72" s="206"/>
      <c r="D72" s="206"/>
      <c r="G72" s="1"/>
    </row>
    <row r="73" spans="2:9" ht="15" customHeight="1"/>
    <row r="74" spans="2:9" ht="30" customHeight="1">
      <c r="B74" s="200" t="s">
        <v>185</v>
      </c>
      <c r="C74" s="201"/>
      <c r="D74" s="201"/>
      <c r="E74" s="201"/>
      <c r="F74" s="201"/>
      <c r="G74" s="205"/>
    </row>
    <row r="75" spans="2:9" s="28" customFormat="1" ht="26.1" customHeight="1">
      <c r="B75" s="11" t="s">
        <v>142</v>
      </c>
      <c r="C75" s="27" t="s">
        <v>156</v>
      </c>
      <c r="D75" s="27" t="s">
        <v>94</v>
      </c>
      <c r="E75" s="11" t="s">
        <v>41</v>
      </c>
      <c r="F75" s="11" t="s">
        <v>95</v>
      </c>
      <c r="G75" s="11"/>
      <c r="I75" s="1"/>
    </row>
    <row r="76" spans="2:9" ht="45" customHeight="1">
      <c r="B76" s="59" t="str">
        <f t="shared" ref="B76:C84" si="1">B57</f>
        <v>1.</v>
      </c>
      <c r="C76" s="75" t="str">
        <f t="shared" si="1"/>
        <v>Dynamika sprzedaży. Formuła: zmiana przychodów ze sprzedaży rok do roku</v>
      </c>
      <c r="D76" s="59" t="s">
        <v>2</v>
      </c>
      <c r="E76" s="4">
        <f>IF(AND(ISNUMBER('Dane finansowe'!E23),ISNUMBER('Dane finansowe'!F23),ISNUMBER('Dane finansowe'!G23)),IF(AND(Wyniki!E57&lt;Wyniki!F57,Wyniki!F57&lt;Wyniki!G57),10,IF(Wyniki!F57&lt;Wyniki!G57,6,2)),3)</f>
        <v>3</v>
      </c>
      <c r="F76" s="59" t="s">
        <v>117</v>
      </c>
      <c r="G76" s="59"/>
    </row>
    <row r="77" spans="2:9" ht="45" customHeight="1">
      <c r="B77" s="59" t="str">
        <f t="shared" si="1"/>
        <v>2.</v>
      </c>
      <c r="C77" s="75" t="str">
        <f t="shared" si="1"/>
        <v>Rentowność sprzedaży - wskaźnik rentowności sprzedaży. Formuła: wynik na sprzedaży / sprzedaż ogółem</v>
      </c>
      <c r="D77" s="59" t="s">
        <v>2</v>
      </c>
      <c r="E77" s="4">
        <f>IF(AND(E58&gt;=0,F58&gt;=0,G58&gt;=0,G58&gt;F58),10,IF(AND(E58&gt;=0,F58&gt;=0,G58&gt;=0,G58&lt;F58),8,IF(OR((AND(E58&lt;=0,F58&lt;=0,G58&lt;=0)),(AND(F58&lt;=0,G58&lt;=0))),0,5)))</f>
        <v>5</v>
      </c>
      <c r="F77" s="59" t="s">
        <v>117</v>
      </c>
      <c r="G77" s="59"/>
    </row>
    <row r="78" spans="2:9" ht="45" customHeight="1">
      <c r="B78" s="59" t="str">
        <f t="shared" si="1"/>
        <v>3.</v>
      </c>
      <c r="C78" s="75" t="str">
        <f t="shared" si="1"/>
        <v>Rentowność kapitału - wskaźnik ROE. Formuła: wynik netto / kapitały własne</v>
      </c>
      <c r="D78" s="59" t="s">
        <v>2</v>
      </c>
      <c r="E78" s="31">
        <f>IF(ISNUMBER(E101),E101,0)</f>
        <v>0</v>
      </c>
      <c r="F78" s="59" t="s">
        <v>118</v>
      </c>
      <c r="G78" s="59"/>
    </row>
    <row r="79" spans="2:9" ht="45" customHeight="1">
      <c r="B79" s="59" t="str">
        <f t="shared" si="1"/>
        <v>4.</v>
      </c>
      <c r="C79" s="75" t="str">
        <f t="shared" si="1"/>
        <v>Płynność finansowa - wskaźnik płynności finansowej II stopnia: Formuła: (aktywa bieżące - zapasy) / zobowiązania bieżące</v>
      </c>
      <c r="D79" s="59" t="s">
        <v>2</v>
      </c>
      <c r="E79" s="31">
        <f>IF(ISNUMBER(E116),E116,0)</f>
        <v>0</v>
      </c>
      <c r="F79" s="59" t="s">
        <v>118</v>
      </c>
      <c r="G79" s="59"/>
    </row>
    <row r="80" spans="2:9" ht="45" customHeight="1">
      <c r="B80" s="59" t="str">
        <f t="shared" si="1"/>
        <v>5.</v>
      </c>
      <c r="C80" s="75" t="str">
        <f t="shared" si="1"/>
        <v>Pokrycie zadłużenia - wskaźnik pokrycia obsługi długu z gotówki operacyjnej. Formuła: CF operacyjny / zadłużenie (zobowiązania ogółem)</v>
      </c>
      <c r="D80" s="59" t="s">
        <v>2</v>
      </c>
      <c r="E80" s="4">
        <f>IF(ISNUMBER(E130),E130,0)</f>
        <v>0</v>
      </c>
      <c r="F80" s="59" t="s">
        <v>118</v>
      </c>
      <c r="G80" s="59"/>
    </row>
    <row r="81" spans="2:23" ht="45" customHeight="1">
      <c r="B81" s="59" t="str">
        <f t="shared" si="1"/>
        <v>6.</v>
      </c>
      <c r="C81" s="75" t="str">
        <f t="shared" si="1"/>
        <v>Wypłacalność - wskaźnik pokrycia aktywów kapitałami własnymi. Formuła: kapitał własny / aktywa ogółem</v>
      </c>
      <c r="D81" s="59" t="s">
        <v>2</v>
      </c>
      <c r="E81" s="4">
        <f>IF(ISNUMBER(E145),E145,0)</f>
        <v>0</v>
      </c>
      <c r="F81" s="59" t="s">
        <v>118</v>
      </c>
      <c r="G81" s="59"/>
    </row>
    <row r="82" spans="2:23" ht="45" customHeight="1">
      <c r="B82" s="59" t="str">
        <f t="shared" si="1"/>
        <v>7.</v>
      </c>
      <c r="C82" s="75" t="str">
        <f t="shared" si="1"/>
        <v>Poziom zadłużenia - wskaźnik ogólnego zadłużenia. Formuła: (zobowiązania + rezerwy na zobowiązania) / aktywa ogółem</v>
      </c>
      <c r="D82" s="59" t="s">
        <v>2</v>
      </c>
      <c r="E82" s="4">
        <f>IF(ISNUMBER(E159),E159,0)</f>
        <v>0</v>
      </c>
      <c r="F82" s="59" t="s">
        <v>118</v>
      </c>
      <c r="G82" s="59"/>
    </row>
    <row r="83" spans="2:23" ht="45" customHeight="1">
      <c r="B83" s="59" t="str">
        <f t="shared" si="1"/>
        <v>8.</v>
      </c>
      <c r="C83" s="75" t="str">
        <f t="shared" si="1"/>
        <v>Pokrycie zadłużenia - wskaźnik pokrycia obsługi długu z przepływów pieniężnych WPOD. Formuła: (CF operacyjny + CF inwestycyjny + CF finansowy (wpływy) + saldo środków na początek okresu) / CF finansowy (wydatki)</v>
      </c>
      <c r="D83" s="59" t="s">
        <v>2</v>
      </c>
      <c r="E83" s="4">
        <f>IF(ISNUMBER(E174),E174,0)</f>
        <v>10</v>
      </c>
      <c r="F83" s="59" t="s">
        <v>118</v>
      </c>
      <c r="G83" s="59"/>
    </row>
    <row r="84" spans="2:23" ht="45" customHeight="1">
      <c r="B84" s="59" t="str">
        <f t="shared" si="1"/>
        <v>9.</v>
      </c>
      <c r="C84" s="75" t="str">
        <f t="shared" si="1"/>
        <v>Sprawność działalnia - wskaźniki rotacji (zapasów, należności i zobowiązań). Formuła: (stan zapasów, należności, zobowiązań x liczba dni) / przychody netto ze sprzedaży</v>
      </c>
      <c r="D84" s="59" t="s">
        <v>2</v>
      </c>
      <c r="E84" s="31">
        <f>IF((AND(ISNUMBER(E199),ISNUMBER(E213),ISNUMBER(E227))),AVERAGE(E199,E213,E227),0)</f>
        <v>0</v>
      </c>
      <c r="F84" s="59" t="s">
        <v>120</v>
      </c>
      <c r="G84" s="59"/>
    </row>
    <row r="85" spans="2:23" ht="45" customHeight="1">
      <c r="B85" s="59" t="str">
        <f t="shared" ref="B85:C87" si="2">B69</f>
        <v>10.</v>
      </c>
      <c r="C85" s="75" t="str">
        <f t="shared" si="2"/>
        <v>Pokrycie aktywów stałych: kapitał własny / aktywa trwałe</v>
      </c>
      <c r="D85" s="59" t="s">
        <v>2</v>
      </c>
      <c r="E85" s="4">
        <f>IF(ISNUMBER(E242),E242,0)</f>
        <v>0</v>
      </c>
      <c r="F85" s="59" t="s">
        <v>118</v>
      </c>
      <c r="G85" s="59"/>
    </row>
    <row r="86" spans="2:23" ht="45" customHeight="1">
      <c r="B86" s="59" t="str">
        <f t="shared" si="2"/>
        <v>11.</v>
      </c>
      <c r="C86" s="75" t="str">
        <f t="shared" si="2"/>
        <v>Efekt dźwigni finansowej: ROE &gt; (wynik netto + koszty odsetek + podatek dochodowy) / aktywa ogółem</v>
      </c>
      <c r="D86" s="59" t="s">
        <v>2</v>
      </c>
      <c r="E86" s="4">
        <f>IF(Wyniki!G70="tak",5,0)</f>
        <v>0</v>
      </c>
      <c r="F86" s="59" t="s">
        <v>119</v>
      </c>
      <c r="G86" s="59"/>
    </row>
    <row r="87" spans="2:23" ht="45" customHeight="1">
      <c r="B87" s="59" t="str">
        <f t="shared" si="2"/>
        <v>12.</v>
      </c>
      <c r="C87" s="75" t="str">
        <f t="shared" si="2"/>
        <v>Analiza dyskryminacyjna - model prof. E. Mączyńskiej</v>
      </c>
      <c r="D87" s="59" t="s">
        <v>2</v>
      </c>
      <c r="E87" s="31" t="str">
        <f>IF(ISNUMBER(E256),E256,"brak danych")</f>
        <v>brak danych</v>
      </c>
      <c r="F87" s="59" t="s">
        <v>118</v>
      </c>
      <c r="G87" s="59"/>
    </row>
    <row r="88" spans="2:23"/>
    <row r="89" spans="2:23"/>
    <row r="90" spans="2:23" ht="14.1" customHeight="1">
      <c r="C90" s="32" t="str">
        <f>H59</f>
        <v>Kryterium nr 3</v>
      </c>
      <c r="E90" s="2"/>
    </row>
    <row r="91" spans="2:23" ht="30" customHeight="1">
      <c r="B91" s="207" t="str">
        <f>C59</f>
        <v>Rentowność kapitału - wskaźnik ROE. Formuła: wynik netto / kapitały własne</v>
      </c>
      <c r="C91" s="208"/>
      <c r="D91" s="208"/>
      <c r="E91" s="72"/>
      <c r="F91" s="72"/>
      <c r="G91" s="73"/>
      <c r="I91" s="63"/>
      <c r="J91" s="64"/>
      <c r="K91" s="65"/>
      <c r="L91" s="65"/>
      <c r="M91" s="65"/>
      <c r="N91" s="60"/>
      <c r="R91" s="60"/>
      <c r="S91" s="60"/>
      <c r="T91" s="60"/>
      <c r="U91" s="60"/>
      <c r="V91" s="60"/>
      <c r="W91" s="60"/>
    </row>
    <row r="92" spans="2:23" s="28" customFormat="1" ht="14.1" customHeight="1">
      <c r="B92" s="3" t="s">
        <v>142</v>
      </c>
      <c r="C92" s="27" t="s">
        <v>156</v>
      </c>
      <c r="D92" s="27" t="s">
        <v>1</v>
      </c>
      <c r="E92" s="33">
        <f>E56</f>
        <v>2021</v>
      </c>
      <c r="F92" s="33">
        <f>F56</f>
        <v>2022</v>
      </c>
      <c r="G92" s="33">
        <f>G56</f>
        <v>2023</v>
      </c>
      <c r="N92" s="60"/>
      <c r="R92" s="1"/>
      <c r="S92" s="1"/>
      <c r="T92" s="1"/>
      <c r="U92" s="1"/>
      <c r="V92" s="1"/>
      <c r="W92" s="1"/>
    </row>
    <row r="93" spans="2:23" ht="14.1" customHeight="1">
      <c r="B93" s="57" t="s">
        <v>148</v>
      </c>
      <c r="C93" s="75" t="s">
        <v>3</v>
      </c>
      <c r="D93" s="34"/>
      <c r="E93" s="35"/>
      <c r="F93" s="35"/>
      <c r="G93" s="36"/>
      <c r="N93" s="60"/>
    </row>
    <row r="94" spans="2:23" ht="14.1" customHeight="1">
      <c r="B94" s="4" t="s">
        <v>171</v>
      </c>
      <c r="C94" s="75" t="s">
        <v>4</v>
      </c>
      <c r="D94" s="37" t="s">
        <v>186</v>
      </c>
      <c r="E94" s="134">
        <v>0</v>
      </c>
      <c r="F94" s="134">
        <v>0</v>
      </c>
      <c r="G94" s="134">
        <v>0</v>
      </c>
      <c r="N94" s="60"/>
    </row>
    <row r="95" spans="2:23" ht="14.1" customHeight="1">
      <c r="B95" s="4" t="s">
        <v>171</v>
      </c>
      <c r="C95" s="75" t="s">
        <v>6</v>
      </c>
      <c r="D95" s="38" t="s">
        <v>186</v>
      </c>
      <c r="E95" s="135">
        <f>IF(Wyniki!E273="","",Wyniki!E273+Wyniki!E274)</f>
        <v>3.7164000000000003E-2</v>
      </c>
      <c r="F95" s="135">
        <f>IF(Wyniki!F273="","",Wyniki!F273+Wyniki!F274)</f>
        <v>9.4242999999999993E-2</v>
      </c>
      <c r="G95" s="135">
        <f>IF(Wyniki!G273="","",Wyniki!G273+Wyniki!G274)</f>
        <v>9.5479999999999995E-2</v>
      </c>
      <c r="N95" s="60"/>
    </row>
    <row r="96" spans="2:23" ht="14.1" customHeight="1">
      <c r="B96" s="57" t="s">
        <v>149</v>
      </c>
      <c r="C96" s="75" t="s">
        <v>7</v>
      </c>
      <c r="D96" s="34"/>
      <c r="E96" s="127"/>
      <c r="F96" s="127"/>
      <c r="G96" s="128"/>
      <c r="H96" s="9"/>
      <c r="N96" s="62"/>
    </row>
    <row r="97" spans="2:20" ht="14.1" customHeight="1">
      <c r="B97" s="4" t="s">
        <v>171</v>
      </c>
      <c r="C97" s="75" t="s">
        <v>4</v>
      </c>
      <c r="D97" s="39" t="s">
        <v>2</v>
      </c>
      <c r="E97" s="129">
        <v>0</v>
      </c>
      <c r="F97" s="129">
        <v>0</v>
      </c>
      <c r="G97" s="129">
        <v>0</v>
      </c>
      <c r="R97" s="66"/>
      <c r="S97" s="66"/>
      <c r="T97" s="66"/>
    </row>
    <row r="98" spans="2:20" ht="14.1" customHeight="1">
      <c r="B98" s="4" t="s">
        <v>171</v>
      </c>
      <c r="C98" s="75" t="s">
        <v>6</v>
      </c>
      <c r="D98" s="40" t="s">
        <v>2</v>
      </c>
      <c r="E98" s="130">
        <v>10</v>
      </c>
      <c r="F98" s="130">
        <v>10</v>
      </c>
      <c r="G98" s="130">
        <v>10</v>
      </c>
    </row>
    <row r="99" spans="2:20" ht="14.1" customHeight="1">
      <c r="B99" s="4" t="s">
        <v>150</v>
      </c>
      <c r="C99" s="75" t="s">
        <v>8</v>
      </c>
      <c r="D99" s="41" t="s">
        <v>186</v>
      </c>
      <c r="E99" s="136" t="str">
        <f>IF(ISNUMBER(E59),E59,"")</f>
        <v/>
      </c>
      <c r="F99" s="136" t="str">
        <f>IF(ISNUMBER(F59),F59,"")</f>
        <v/>
      </c>
      <c r="G99" s="136" t="str">
        <f>IF(ISNUMBER(G59),G59,"")</f>
        <v/>
      </c>
    </row>
    <row r="100" spans="2:20" ht="14.1" customHeight="1">
      <c r="B100" s="4" t="s">
        <v>151</v>
      </c>
      <c r="C100" s="76" t="s">
        <v>11</v>
      </c>
      <c r="D100" s="40" t="s">
        <v>2</v>
      </c>
      <c r="E100" s="132" t="str">
        <f>IF(AND('Dane finansowe'!E30&lt;0,'Dane finansowe'!E45&lt;0),0,IF(ISNUMBER(E59),IF(E99&lt;E94,E97,IF(E99&gt;E95,E98,IF(AND(E99&lt;=E95,E99&gt;=E94),IF(ISNUMBER(E99),ROUND(FORECAST(E99,E97:E98,E94:E95),0),"")))),""))</f>
        <v/>
      </c>
      <c r="F100" s="132" t="str">
        <f>IF(AND('Dane finansowe'!F30&lt;0,'Dane finansowe'!F45&lt;0),0,IF(ISNUMBER(F59),IF(F99&lt;F94,F97,IF(F99&gt;F95,F98,IF(AND(F99&lt;=F95,F99&gt;=F94),IF(ISNUMBER(F99),ROUND(FORECAST(F99,F97:F98,F94:F95),0),"")))),""))</f>
        <v/>
      </c>
      <c r="G100" s="132" t="str">
        <f>IF(AND('Dane finansowe'!G30&lt;0,'Dane finansowe'!G45&lt;0),0,IF(ISNUMBER(G59),IF(G99&lt;G94,G97,IF(G99&gt;G95,G98,IF(AND(G99&lt;=G95,G99&gt;=G94),IF(ISNUMBER(G99),ROUND(FORECAST(G99,G97:G98,G94:G95),0),"")))),""))</f>
        <v/>
      </c>
    </row>
    <row r="101" spans="2:20" s="25" customFormat="1" ht="14.1" customHeight="1">
      <c r="B101" s="11" t="s">
        <v>152</v>
      </c>
      <c r="C101" s="77" t="s">
        <v>37</v>
      </c>
      <c r="D101" s="42" t="s">
        <v>2</v>
      </c>
      <c r="E101" s="133" t="str">
        <f>IF(G100="","brak danych",ROUND(IF(ISNUMBER(E100),AVERAGE(E100:G100),IF(ISNUMBER(F100),AVERAGE(F100:G100),IF(ISNUMBER(G100),G100,"bd"))),0))</f>
        <v>brak danych</v>
      </c>
      <c r="F101" s="28"/>
      <c r="G101" s="28"/>
    </row>
    <row r="102" spans="2:20" ht="14.1" customHeight="1">
      <c r="E102" s="2"/>
    </row>
    <row r="103" spans="2:20" ht="14.1" customHeight="1">
      <c r="E103" s="2"/>
    </row>
    <row r="104" spans="2:20" ht="14.1" customHeight="1">
      <c r="C104" s="32" t="str">
        <f>H60</f>
        <v>Kryterium nr 4</v>
      </c>
      <c r="E104" s="2"/>
    </row>
    <row r="105" spans="2:20" ht="30" customHeight="1">
      <c r="B105" s="207" t="str">
        <f>C60</f>
        <v>Płynność finansowa - wskaźnik płynności finansowej II stopnia: Formuła: (aktywa bieżące - zapasy) / zobowiązania bieżące</v>
      </c>
      <c r="C105" s="208"/>
      <c r="D105" s="208"/>
      <c r="E105" s="72"/>
      <c r="F105" s="72"/>
      <c r="G105" s="73"/>
    </row>
    <row r="106" spans="2:20" s="28" customFormat="1" ht="14.1" customHeight="1">
      <c r="B106" s="3" t="s">
        <v>142</v>
      </c>
      <c r="C106" s="27" t="s">
        <v>156</v>
      </c>
      <c r="D106" s="27" t="s">
        <v>1</v>
      </c>
      <c r="E106" s="33">
        <f>E56</f>
        <v>2021</v>
      </c>
      <c r="F106" s="33">
        <f>F56</f>
        <v>2022</v>
      </c>
      <c r="G106" s="33">
        <f>G56</f>
        <v>2023</v>
      </c>
    </row>
    <row r="107" spans="2:20" ht="14.1" customHeight="1">
      <c r="B107" s="57" t="s">
        <v>148</v>
      </c>
      <c r="C107" s="75" t="s">
        <v>3</v>
      </c>
      <c r="D107" s="34"/>
      <c r="E107" s="35"/>
      <c r="F107" s="35"/>
      <c r="G107" s="36"/>
    </row>
    <row r="108" spans="2:20" ht="14.1" customHeight="1">
      <c r="B108" s="4" t="s">
        <v>171</v>
      </c>
      <c r="C108" s="75" t="s">
        <v>4</v>
      </c>
      <c r="D108" s="37" t="s">
        <v>5</v>
      </c>
      <c r="E108" s="125">
        <v>0.75</v>
      </c>
      <c r="F108" s="125">
        <v>0.75</v>
      </c>
      <c r="G108" s="125">
        <v>0.75</v>
      </c>
    </row>
    <row r="109" spans="2:20" ht="14.1" customHeight="1">
      <c r="B109" s="4" t="s">
        <v>171</v>
      </c>
      <c r="C109" s="75" t="s">
        <v>6</v>
      </c>
      <c r="D109" s="37" t="s">
        <v>5</v>
      </c>
      <c r="E109" s="126">
        <v>1.1000000000000001</v>
      </c>
      <c r="F109" s="126">
        <v>1.1000000000000001</v>
      </c>
      <c r="G109" s="126">
        <v>1.1000000000000001</v>
      </c>
    </row>
    <row r="110" spans="2:20" ht="14.1" customHeight="1">
      <c r="B110" s="57" t="s">
        <v>149</v>
      </c>
      <c r="C110" s="75" t="s">
        <v>7</v>
      </c>
      <c r="D110" s="34"/>
      <c r="E110" s="127"/>
      <c r="F110" s="127"/>
      <c r="G110" s="128"/>
    </row>
    <row r="111" spans="2:20" ht="14.1" customHeight="1">
      <c r="B111" s="57"/>
      <c r="C111" s="75" t="s">
        <v>4</v>
      </c>
      <c r="D111" s="151" t="s">
        <v>2</v>
      </c>
      <c r="E111" s="152">
        <v>0</v>
      </c>
      <c r="F111" s="152">
        <v>0</v>
      </c>
      <c r="G111" s="152">
        <v>0</v>
      </c>
    </row>
    <row r="112" spans="2:20" ht="14.1" customHeight="1">
      <c r="B112" s="4" t="s">
        <v>171</v>
      </c>
      <c r="C112" s="75" t="s">
        <v>252</v>
      </c>
      <c r="D112" s="151" t="s">
        <v>5</v>
      </c>
      <c r="E112" s="125">
        <v>0.75</v>
      </c>
      <c r="F112" s="125">
        <v>0.75</v>
      </c>
      <c r="G112" s="125">
        <v>0.75</v>
      </c>
    </row>
    <row r="113" spans="2:9" ht="14.1" customHeight="1">
      <c r="B113" s="4" t="s">
        <v>171</v>
      </c>
      <c r="C113" s="75" t="s">
        <v>6</v>
      </c>
      <c r="D113" s="40" t="s">
        <v>2</v>
      </c>
      <c r="E113" s="130">
        <v>10</v>
      </c>
      <c r="F113" s="130">
        <v>10</v>
      </c>
      <c r="G113" s="130">
        <v>10</v>
      </c>
    </row>
    <row r="114" spans="2:9" ht="14.1" customHeight="1">
      <c r="B114" s="4" t="s">
        <v>150</v>
      </c>
      <c r="C114" s="75" t="s">
        <v>8</v>
      </c>
      <c r="D114" s="41" t="s">
        <v>5</v>
      </c>
      <c r="E114" s="131" t="str">
        <f>IF(ISNUMBER(E60),E60,"")</f>
        <v/>
      </c>
      <c r="F114" s="131" t="str">
        <f>IF(ISNUMBER(F60),F60,"")</f>
        <v/>
      </c>
      <c r="G114" s="131" t="str">
        <f>IF(ISNUMBER(G60),G60,"")</f>
        <v/>
      </c>
    </row>
    <row r="115" spans="2:9" ht="14.1" customHeight="1">
      <c r="B115" s="4" t="s">
        <v>151</v>
      </c>
      <c r="C115" s="76" t="s">
        <v>11</v>
      </c>
      <c r="D115" s="40" t="s">
        <v>2</v>
      </c>
      <c r="E115" s="132" t="str">
        <f>IF(ISNUMBER(E60),IF(E114&lt;E108,E111,IF(E114&gt;E109,E113,IF(AND(E114&lt;=E109,E114&gt;=E108),IF(ISNUMBER(E114),ROUND(FORECAST(E114,E112:E113,E108:E109),0),"")))),"")</f>
        <v/>
      </c>
      <c r="F115" s="132" t="str">
        <f>IF(ISNUMBER(F60),IF(F114&lt;F108,F111,IF(F114&gt;F109,F113,IF(AND(F114&lt;=F109,F114&gt;=F108),IF(ISNUMBER(F114),ROUND(FORECAST(F114,F112:F113,F108:F109),0),"")))),"")</f>
        <v/>
      </c>
      <c r="G115" s="132" t="str">
        <f>IF(ISNUMBER(G60),IF(G114&lt;G108,G111,IF(G114&gt;G109,G113,IF(AND(G114&lt;=G109,G114&gt;=G108),IF(ISNUMBER(G114),ROUND(FORECAST(G114,G112:G113,G108:G109),0),"")))),"")</f>
        <v/>
      </c>
    </row>
    <row r="116" spans="2:9" s="25" customFormat="1" ht="14.1" customHeight="1">
      <c r="B116" s="11" t="s">
        <v>152</v>
      </c>
      <c r="C116" s="77" t="s">
        <v>37</v>
      </c>
      <c r="D116" s="42" t="s">
        <v>2</v>
      </c>
      <c r="E116" s="133" t="str">
        <f>IF(G115="","brak danych",ROUND(IF(ISNUMBER(E115),AVERAGE(E115:G115),IF(ISNUMBER(F115),AVERAGE(F115:G115),IF(ISNUMBER(G115),G115,"bd"))),0))</f>
        <v>brak danych</v>
      </c>
      <c r="F116" s="28"/>
      <c r="G116" s="28"/>
      <c r="H116" s="1"/>
    </row>
    <row r="117" spans="2:9" s="25" customFormat="1" ht="15" customHeight="1">
      <c r="B117" s="28"/>
      <c r="D117" s="43"/>
      <c r="E117" s="28"/>
      <c r="F117" s="28"/>
      <c r="G117" s="28"/>
      <c r="H117" s="1"/>
    </row>
    <row r="118" spans="2:9" ht="15" customHeight="1">
      <c r="E118" s="2"/>
    </row>
    <row r="119" spans="2:9" ht="15" customHeight="1">
      <c r="C119" s="32" t="str">
        <f>H61</f>
        <v>Kryterium nr 5</v>
      </c>
      <c r="E119" s="2"/>
    </row>
    <row r="120" spans="2:9" ht="30" customHeight="1">
      <c r="B120" s="207" t="str">
        <f>C61</f>
        <v>Pokrycie zadłużenia - wskaźnik pokrycia obsługi długu z gotówki operacyjnej. Formuła: CF operacyjny / zadłużenie (zobowiązania ogółem)</v>
      </c>
      <c r="C120" s="208"/>
      <c r="D120" s="208"/>
      <c r="E120" s="72"/>
      <c r="F120" s="72"/>
      <c r="G120" s="73"/>
    </row>
    <row r="121" spans="2:9" s="28" customFormat="1" ht="15" customHeight="1">
      <c r="B121" s="3" t="s">
        <v>142</v>
      </c>
      <c r="C121" s="27" t="s">
        <v>156</v>
      </c>
      <c r="D121" s="27" t="s">
        <v>1</v>
      </c>
      <c r="E121" s="33">
        <f>E56</f>
        <v>2021</v>
      </c>
      <c r="F121" s="33">
        <f>F56</f>
        <v>2022</v>
      </c>
      <c r="G121" s="33">
        <f>G56</f>
        <v>2023</v>
      </c>
      <c r="I121" s="1"/>
    </row>
    <row r="122" spans="2:9" ht="15" customHeight="1">
      <c r="B122" s="57" t="s">
        <v>148</v>
      </c>
      <c r="C122" s="75" t="s">
        <v>3</v>
      </c>
      <c r="D122" s="34"/>
      <c r="E122" s="35"/>
      <c r="F122" s="35"/>
      <c r="G122" s="36"/>
    </row>
    <row r="123" spans="2:9" ht="15" customHeight="1">
      <c r="B123" s="4" t="s">
        <v>171</v>
      </c>
      <c r="C123" s="75" t="s">
        <v>4</v>
      </c>
      <c r="D123" s="37" t="s">
        <v>186</v>
      </c>
      <c r="E123" s="134">
        <v>0</v>
      </c>
      <c r="F123" s="134">
        <f t="shared" ref="F123:G124" si="3">E123</f>
        <v>0</v>
      </c>
      <c r="G123" s="134">
        <f t="shared" si="3"/>
        <v>0</v>
      </c>
    </row>
    <row r="124" spans="2:9" ht="15" customHeight="1">
      <c r="B124" s="4" t="s">
        <v>171</v>
      </c>
      <c r="C124" s="75" t="s">
        <v>6</v>
      </c>
      <c r="D124" s="38" t="s">
        <v>186</v>
      </c>
      <c r="E124" s="135">
        <v>0.3</v>
      </c>
      <c r="F124" s="135">
        <f t="shared" si="3"/>
        <v>0.3</v>
      </c>
      <c r="G124" s="135">
        <f t="shared" si="3"/>
        <v>0.3</v>
      </c>
    </row>
    <row r="125" spans="2:9" ht="15" customHeight="1">
      <c r="B125" s="57" t="s">
        <v>149</v>
      </c>
      <c r="C125" s="75" t="s">
        <v>7</v>
      </c>
      <c r="D125" s="34"/>
      <c r="E125" s="127"/>
      <c r="F125" s="127"/>
      <c r="G125" s="128"/>
    </row>
    <row r="126" spans="2:9" ht="15" customHeight="1">
      <c r="B126" s="4" t="s">
        <v>171</v>
      </c>
      <c r="C126" s="75" t="s">
        <v>4</v>
      </c>
      <c r="D126" s="39" t="s">
        <v>2</v>
      </c>
      <c r="E126" s="129">
        <v>0</v>
      </c>
      <c r="F126" s="129">
        <f t="shared" ref="F126:G127" si="4">E126</f>
        <v>0</v>
      </c>
      <c r="G126" s="129">
        <f t="shared" si="4"/>
        <v>0</v>
      </c>
    </row>
    <row r="127" spans="2:9" ht="15" customHeight="1">
      <c r="B127" s="4" t="s">
        <v>171</v>
      </c>
      <c r="C127" s="75" t="s">
        <v>6</v>
      </c>
      <c r="D127" s="40" t="s">
        <v>2</v>
      </c>
      <c r="E127" s="130">
        <v>5</v>
      </c>
      <c r="F127" s="130">
        <f t="shared" si="4"/>
        <v>5</v>
      </c>
      <c r="G127" s="130">
        <f t="shared" si="4"/>
        <v>5</v>
      </c>
    </row>
    <row r="128" spans="2:9" ht="15" customHeight="1">
      <c r="B128" s="4" t="s">
        <v>150</v>
      </c>
      <c r="C128" s="75" t="s">
        <v>8</v>
      </c>
      <c r="D128" s="41" t="s">
        <v>186</v>
      </c>
      <c r="E128" s="136" t="str">
        <f>IF(ISNUMBER(E61),E61,"")</f>
        <v/>
      </c>
      <c r="F128" s="136" t="str">
        <f>IF(ISNUMBER(F61),F61,"")</f>
        <v/>
      </c>
      <c r="G128" s="136" t="str">
        <f>IF(ISNUMBER(G61),G61,"")</f>
        <v/>
      </c>
    </row>
    <row r="129" spans="2:7" ht="15" customHeight="1">
      <c r="B129" s="4" t="s">
        <v>151</v>
      </c>
      <c r="C129" s="76" t="s">
        <v>11</v>
      </c>
      <c r="D129" s="40" t="s">
        <v>2</v>
      </c>
      <c r="E129" s="132" t="str">
        <f>IF(ISNUMBER(E61),IF(E128&lt;E123,E126,IF(E128&gt;E124,E127,IF(AND(E128&lt;=E124,E128&gt;=E123),IF(ISNUMBER(E128),ROUND(FORECAST(E128,E126:E127,E123:E124),0),"")))),"")</f>
        <v/>
      </c>
      <c r="F129" s="132" t="str">
        <f>IF(ISNUMBER(F61),IF(F128&lt;F123,F126,IF(F128&gt;F124,F127,IF(AND(F128&lt;=F124,F128&gt;=F123),IF(ISNUMBER(F128),ROUND(FORECAST(F128,F126:F127,F123:F124),0),"")))),"")</f>
        <v/>
      </c>
      <c r="G129" s="132" t="str">
        <f>IF(ISNUMBER(G61),IF(G128&lt;G123,G126,IF(G128&gt;G124,G127,IF(AND(G128&lt;=G124,G128&gt;=G123),IF(ISNUMBER(G128),ROUND(FORECAST(G128,G126:G127,G123:G124),0),"")))),"")</f>
        <v/>
      </c>
    </row>
    <row r="130" spans="2:7" s="25" customFormat="1" ht="15" customHeight="1">
      <c r="B130" s="11" t="s">
        <v>152</v>
      </c>
      <c r="C130" s="77" t="s">
        <v>37</v>
      </c>
      <c r="D130" s="42" t="s">
        <v>2</v>
      </c>
      <c r="E130" s="133" t="str">
        <f>IF(G129="","brak danych",ROUND(IF(ISNUMBER(E129),AVERAGE(E129:G129),IF(ISNUMBER(F129),AVERAGE(F129:G129),IF(ISNUMBER(G129),G129,"bd"))),0))</f>
        <v>brak danych</v>
      </c>
      <c r="F130" s="140"/>
      <c r="G130" s="140"/>
    </row>
    <row r="131" spans="2:7" ht="15" customHeight="1"/>
    <row r="132" spans="2:7" ht="15" customHeight="1">
      <c r="E132" s="2"/>
    </row>
    <row r="133" spans="2:7" ht="15" customHeight="1">
      <c r="C133" s="32" t="str">
        <f>H62</f>
        <v>Kryterium nr 6</v>
      </c>
      <c r="E133" s="2"/>
    </row>
    <row r="134" spans="2:7" ht="30" customHeight="1">
      <c r="B134" s="207" t="str">
        <f>C62</f>
        <v>Wypłacalność - wskaźnik pokrycia aktywów kapitałami własnymi. Formuła: kapitał własny / aktywa ogółem</v>
      </c>
      <c r="C134" s="208"/>
      <c r="D134" s="208"/>
      <c r="E134" s="72"/>
      <c r="F134" s="72"/>
      <c r="G134" s="73"/>
    </row>
    <row r="135" spans="2:7" s="28" customFormat="1" ht="15" customHeight="1">
      <c r="B135" s="3" t="s">
        <v>142</v>
      </c>
      <c r="C135" s="27" t="s">
        <v>156</v>
      </c>
      <c r="D135" s="27" t="s">
        <v>1</v>
      </c>
      <c r="E135" s="33">
        <f>E56</f>
        <v>2021</v>
      </c>
      <c r="F135" s="33">
        <f>F56</f>
        <v>2022</v>
      </c>
      <c r="G135" s="33">
        <f>G56</f>
        <v>2023</v>
      </c>
    </row>
    <row r="136" spans="2:7" ht="15" customHeight="1">
      <c r="B136" s="57" t="s">
        <v>148</v>
      </c>
      <c r="C136" s="75" t="s">
        <v>3</v>
      </c>
      <c r="D136" s="34"/>
      <c r="E136" s="35"/>
      <c r="F136" s="35"/>
      <c r="G136" s="36"/>
    </row>
    <row r="137" spans="2:7" ht="15" customHeight="1">
      <c r="B137" s="4" t="s">
        <v>171</v>
      </c>
      <c r="C137" s="75" t="s">
        <v>4</v>
      </c>
      <c r="D137" s="37" t="s">
        <v>186</v>
      </c>
      <c r="E137" s="134">
        <v>0.1</v>
      </c>
      <c r="F137" s="134">
        <f t="shared" ref="F137:G138" si="5">E137</f>
        <v>0.1</v>
      </c>
      <c r="G137" s="134">
        <f t="shared" si="5"/>
        <v>0.1</v>
      </c>
    </row>
    <row r="138" spans="2:7" ht="15" customHeight="1">
      <c r="B138" s="4" t="s">
        <v>171</v>
      </c>
      <c r="C138" s="75" t="s">
        <v>6</v>
      </c>
      <c r="D138" s="38" t="s">
        <v>186</v>
      </c>
      <c r="E138" s="135">
        <v>0.5</v>
      </c>
      <c r="F138" s="135">
        <f t="shared" si="5"/>
        <v>0.5</v>
      </c>
      <c r="G138" s="135">
        <f t="shared" si="5"/>
        <v>0.5</v>
      </c>
    </row>
    <row r="139" spans="2:7" ht="15" customHeight="1">
      <c r="B139" s="57" t="s">
        <v>149</v>
      </c>
      <c r="C139" s="75" t="s">
        <v>7</v>
      </c>
      <c r="D139" s="34"/>
      <c r="E139" s="127"/>
      <c r="F139" s="127"/>
      <c r="G139" s="128"/>
    </row>
    <row r="140" spans="2:7" ht="15" customHeight="1">
      <c r="B140" s="57"/>
      <c r="C140" s="75" t="s">
        <v>4</v>
      </c>
      <c r="D140" s="151" t="s">
        <v>2</v>
      </c>
      <c r="E140" s="152">
        <v>0</v>
      </c>
      <c r="F140" s="152">
        <v>0</v>
      </c>
      <c r="G140" s="152">
        <v>0</v>
      </c>
    </row>
    <row r="141" spans="2:7" ht="15" customHeight="1">
      <c r="B141" s="4" t="s">
        <v>171</v>
      </c>
      <c r="C141" s="75" t="s">
        <v>252</v>
      </c>
      <c r="D141" s="39" t="s">
        <v>2</v>
      </c>
      <c r="E141" s="129">
        <v>1</v>
      </c>
      <c r="F141" s="129">
        <v>1</v>
      </c>
      <c r="G141" s="129">
        <v>1</v>
      </c>
    </row>
    <row r="142" spans="2:7" ht="15" customHeight="1">
      <c r="B142" s="4" t="s">
        <v>171</v>
      </c>
      <c r="C142" s="75" t="s">
        <v>6</v>
      </c>
      <c r="D142" s="40" t="s">
        <v>2</v>
      </c>
      <c r="E142" s="130">
        <v>5</v>
      </c>
      <c r="F142" s="130">
        <v>5</v>
      </c>
      <c r="G142" s="130">
        <v>5</v>
      </c>
    </row>
    <row r="143" spans="2:7" ht="15" customHeight="1">
      <c r="B143" s="4" t="s">
        <v>150</v>
      </c>
      <c r="C143" s="75" t="s">
        <v>8</v>
      </c>
      <c r="D143" s="41" t="s">
        <v>186</v>
      </c>
      <c r="E143" s="136" t="str">
        <f>IF(ISNUMBER(E62),E62,"")</f>
        <v/>
      </c>
      <c r="F143" s="136" t="str">
        <f>IF(ISNUMBER(F62),F62,"")</f>
        <v/>
      </c>
      <c r="G143" s="136" t="str">
        <f>IF(ISNUMBER(G62),G62,"")</f>
        <v/>
      </c>
    </row>
    <row r="144" spans="2:7" ht="15" customHeight="1">
      <c r="B144" s="4" t="s">
        <v>151</v>
      </c>
      <c r="C144" s="76" t="s">
        <v>11</v>
      </c>
      <c r="D144" s="40" t="s">
        <v>2</v>
      </c>
      <c r="E144" s="132" t="str">
        <f>IF(ISNUMBER(E62),IF(E143&lt;E137,E140,IF(E143&gt;E138,E142,IF(AND(E143&lt;=E138,E143&gt;=E137),IF(ISNUMBER(E143),ROUND(FORECAST(E143,E141:E142,E137:E138),0),"")))),"")</f>
        <v/>
      </c>
      <c r="F144" s="132" t="str">
        <f>IF(ISNUMBER(F62),IF(F143&lt;F137,F140,IF(F143&gt;F138,F142,IF(AND(F143&lt;=F138,F143&gt;=F137),IF(ISNUMBER(F143),ROUND(FORECAST(F143,F141:F142,F137:F138),0),"")))),"")</f>
        <v/>
      </c>
      <c r="G144" s="132" t="str">
        <f>IF(ISNUMBER(G62),IF(G143&lt;G137,G140,IF(G143&gt;G138,G142,IF(AND(G143&lt;=G138,G143&gt;=G137),IF(ISNUMBER(G143),ROUND(FORECAST(G143,G141:G142,G137:G138),0),"")))),"")</f>
        <v/>
      </c>
    </row>
    <row r="145" spans="2:8" s="25" customFormat="1" ht="15" customHeight="1">
      <c r="B145" s="11" t="s">
        <v>152</v>
      </c>
      <c r="C145" s="77" t="s">
        <v>37</v>
      </c>
      <c r="D145" s="42" t="s">
        <v>2</v>
      </c>
      <c r="E145" s="133" t="str">
        <f>IF(G144="","brak danych",ROUND(IF(ISNUMBER(E144),AVERAGE(E144:G144),IF(ISNUMBER(F144),AVERAGE(F144:G144),IF(ISNUMBER(G144),G144,"bd"))),0))</f>
        <v>brak danych</v>
      </c>
      <c r="F145" s="28"/>
      <c r="G145" s="28"/>
    </row>
    <row r="146" spans="2:8" s="25" customFormat="1" ht="15" customHeight="1">
      <c r="B146" s="28"/>
    </row>
    <row r="147" spans="2:8" ht="15" customHeight="1">
      <c r="E147" s="2"/>
    </row>
    <row r="148" spans="2:8" ht="15" customHeight="1">
      <c r="C148" s="32" t="str">
        <f>H63</f>
        <v>Kryterium nr 7</v>
      </c>
      <c r="E148" s="2"/>
    </row>
    <row r="149" spans="2:8" ht="30" customHeight="1">
      <c r="B149" s="207" t="str">
        <f>C63</f>
        <v>Poziom zadłużenia - wskaźnik ogólnego zadłużenia. Formuła: (zobowiązania + rezerwy na zobowiązania) / aktywa ogółem</v>
      </c>
      <c r="C149" s="208"/>
      <c r="D149" s="208"/>
      <c r="E149" s="72"/>
      <c r="F149" s="72"/>
      <c r="G149" s="73"/>
    </row>
    <row r="150" spans="2:8" s="28" customFormat="1" ht="15" customHeight="1">
      <c r="B150" s="3" t="s">
        <v>142</v>
      </c>
      <c r="C150" s="27" t="s">
        <v>156</v>
      </c>
      <c r="D150" s="27" t="s">
        <v>1</v>
      </c>
      <c r="E150" s="33">
        <f>E56</f>
        <v>2021</v>
      </c>
      <c r="F150" s="33">
        <f>F56</f>
        <v>2022</v>
      </c>
      <c r="G150" s="33">
        <f>G56</f>
        <v>2023</v>
      </c>
    </row>
    <row r="151" spans="2:8" ht="15" customHeight="1">
      <c r="B151" s="57" t="s">
        <v>148</v>
      </c>
      <c r="C151" s="75" t="s">
        <v>3</v>
      </c>
      <c r="D151" s="34"/>
      <c r="E151" s="35"/>
      <c r="F151" s="35"/>
      <c r="G151" s="36"/>
    </row>
    <row r="152" spans="2:8" ht="15" customHeight="1">
      <c r="B152" s="4" t="s">
        <v>171</v>
      </c>
      <c r="C152" s="75" t="s">
        <v>4</v>
      </c>
      <c r="D152" s="37" t="s">
        <v>5</v>
      </c>
      <c r="E152" s="125">
        <v>0</v>
      </c>
      <c r="F152" s="125">
        <v>0</v>
      </c>
      <c r="G152" s="125">
        <v>0</v>
      </c>
    </row>
    <row r="153" spans="2:8" ht="15" customHeight="1">
      <c r="B153" s="4" t="s">
        <v>171</v>
      </c>
      <c r="C153" s="75" t="s">
        <v>6</v>
      </c>
      <c r="D153" s="37" t="s">
        <v>5</v>
      </c>
      <c r="E153" s="126">
        <v>0.67</v>
      </c>
      <c r="F153" s="126">
        <v>0.67</v>
      </c>
      <c r="G153" s="126">
        <v>0.67</v>
      </c>
    </row>
    <row r="154" spans="2:8" ht="15" customHeight="1">
      <c r="B154" s="57" t="s">
        <v>149</v>
      </c>
      <c r="C154" s="75" t="s">
        <v>7</v>
      </c>
      <c r="D154" s="34"/>
      <c r="E154" s="127"/>
      <c r="F154" s="127"/>
      <c r="G154" s="128"/>
    </row>
    <row r="155" spans="2:8" ht="15" customHeight="1">
      <c r="B155" s="4" t="s">
        <v>171</v>
      </c>
      <c r="C155" s="75" t="s">
        <v>4</v>
      </c>
      <c r="D155" s="39" t="s">
        <v>2</v>
      </c>
      <c r="E155" s="129">
        <v>10</v>
      </c>
      <c r="F155" s="129">
        <v>10</v>
      </c>
      <c r="G155" s="129">
        <v>10</v>
      </c>
    </row>
    <row r="156" spans="2:8" ht="15" customHeight="1">
      <c r="B156" s="4" t="s">
        <v>171</v>
      </c>
      <c r="C156" s="75" t="s">
        <v>6</v>
      </c>
      <c r="D156" s="40" t="s">
        <v>2</v>
      </c>
      <c r="E156" s="130">
        <v>0</v>
      </c>
      <c r="F156" s="130">
        <v>0</v>
      </c>
      <c r="G156" s="130">
        <v>0</v>
      </c>
    </row>
    <row r="157" spans="2:8" ht="15" customHeight="1">
      <c r="B157" s="4" t="s">
        <v>150</v>
      </c>
      <c r="C157" s="75" t="s">
        <v>8</v>
      </c>
      <c r="D157" s="41" t="s">
        <v>5</v>
      </c>
      <c r="E157" s="131" t="str">
        <f>IF(ISNUMBER(E63),E63,"")</f>
        <v/>
      </c>
      <c r="F157" s="131" t="str">
        <f>IF(ISNUMBER(F63),F63,"")</f>
        <v/>
      </c>
      <c r="G157" s="131" t="str">
        <f>IF(ISNUMBER(G63),G63,"")</f>
        <v/>
      </c>
    </row>
    <row r="158" spans="2:8" ht="15" customHeight="1">
      <c r="B158" s="4" t="s">
        <v>151</v>
      </c>
      <c r="C158" s="76" t="s">
        <v>11</v>
      </c>
      <c r="D158" s="40" t="s">
        <v>2</v>
      </c>
      <c r="E158" s="132" t="str">
        <f>IF(ISNUMBER(E63),IF(E157&lt;E152,E155,IF(E157&gt;E153,E156,IF(AND(E157&lt;=E153,E157&gt;=E152),IF(ISNUMBER(E157),ROUND(FORECAST(E157,E155:E156,E152:E153),0),"")))),"")</f>
        <v/>
      </c>
      <c r="F158" s="132" t="str">
        <f>IF(ISNUMBER(F63),IF(F157&lt;F152,F155,IF(F157&gt;F153,F156,IF(AND(F157&lt;=F153,F157&gt;=F152),IF(ISNUMBER(F157),ROUND(FORECAST(F157,F155:F156,F152:F153),0),"")))),"")</f>
        <v/>
      </c>
      <c r="G158" s="132" t="str">
        <f>IF(ISNUMBER(G63),IF(G157&lt;G152,G155,IF(G157&gt;G153,G156,IF(AND(G157&lt;=G153,G157&gt;=G152),IF(ISNUMBER(G157),ROUND(FORECAST(G157,G155:G156,G152:G153),0),"")))),"")</f>
        <v/>
      </c>
    </row>
    <row r="159" spans="2:8" s="25" customFormat="1" ht="15" customHeight="1">
      <c r="B159" s="11" t="s">
        <v>152</v>
      </c>
      <c r="C159" s="77" t="s">
        <v>37</v>
      </c>
      <c r="D159" s="42" t="s">
        <v>2</v>
      </c>
      <c r="E159" s="133" t="str">
        <f>IF(G158="","brak danych",ROUND(IF(ISNUMBER(E158),AVERAGE(E158:G158),IF(ISNUMBER(F158),AVERAGE(F158:G158),IF(ISNUMBER(G158),G158,"bd"))),0))</f>
        <v>brak danych</v>
      </c>
      <c r="F159" s="28"/>
      <c r="G159" s="28"/>
      <c r="H159" s="1"/>
    </row>
    <row r="160" spans="2:8" s="25" customFormat="1" ht="15" customHeight="1">
      <c r="B160" s="28"/>
      <c r="D160" s="43"/>
      <c r="E160" s="28"/>
      <c r="F160" s="28"/>
      <c r="G160" s="28"/>
      <c r="H160" s="1"/>
    </row>
    <row r="161" spans="2:7" ht="15" customHeight="1">
      <c r="B161" s="44"/>
      <c r="C161" s="10"/>
      <c r="E161" s="45"/>
      <c r="F161" s="45"/>
      <c r="G161" s="45"/>
    </row>
    <row r="162" spans="2:7" ht="15" customHeight="1">
      <c r="C162" s="32" t="str">
        <f>H64</f>
        <v>Kryterium nr 8</v>
      </c>
    </row>
    <row r="163" spans="2:7" ht="45" customHeight="1">
      <c r="B163" s="207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63" s="208"/>
      <c r="D163" s="208"/>
      <c r="E163" s="72"/>
      <c r="F163" s="72"/>
      <c r="G163" s="73"/>
    </row>
    <row r="164" spans="2:7" s="28" customFormat="1" ht="15" customHeight="1">
      <c r="B164" s="3" t="s">
        <v>142</v>
      </c>
      <c r="C164" s="27" t="s">
        <v>156</v>
      </c>
      <c r="D164" s="27" t="s">
        <v>1</v>
      </c>
      <c r="E164" s="33">
        <f>E56</f>
        <v>2021</v>
      </c>
      <c r="F164" s="33">
        <f>F56</f>
        <v>2022</v>
      </c>
      <c r="G164" s="33">
        <f>G56</f>
        <v>2023</v>
      </c>
    </row>
    <row r="165" spans="2:7" ht="15" customHeight="1">
      <c r="B165" s="57" t="s">
        <v>148</v>
      </c>
      <c r="C165" s="75" t="s">
        <v>3</v>
      </c>
      <c r="D165" s="34"/>
      <c r="E165" s="35"/>
      <c r="F165" s="35"/>
      <c r="G165" s="36"/>
    </row>
    <row r="166" spans="2:7" ht="15" customHeight="1">
      <c r="B166" s="4" t="s">
        <v>171</v>
      </c>
      <c r="C166" s="75" t="s">
        <v>4</v>
      </c>
      <c r="D166" s="37" t="s">
        <v>5</v>
      </c>
      <c r="E166" s="125">
        <v>1</v>
      </c>
      <c r="F166" s="125">
        <f t="shared" ref="F166:G167" si="6">E166</f>
        <v>1</v>
      </c>
      <c r="G166" s="125">
        <f t="shared" si="6"/>
        <v>1</v>
      </c>
    </row>
    <row r="167" spans="2:7" ht="15" customHeight="1">
      <c r="B167" s="4" t="s">
        <v>171</v>
      </c>
      <c r="C167" s="75" t="s">
        <v>6</v>
      </c>
      <c r="D167" s="37" t="s">
        <v>5</v>
      </c>
      <c r="E167" s="126">
        <v>2</v>
      </c>
      <c r="F167" s="126">
        <f t="shared" si="6"/>
        <v>2</v>
      </c>
      <c r="G167" s="126">
        <f t="shared" si="6"/>
        <v>2</v>
      </c>
    </row>
    <row r="168" spans="2:7" ht="15" customHeight="1">
      <c r="B168" s="57" t="s">
        <v>149</v>
      </c>
      <c r="C168" s="75" t="s">
        <v>7</v>
      </c>
      <c r="D168" s="34"/>
      <c r="E168" s="127"/>
      <c r="F168" s="127"/>
      <c r="G168" s="128"/>
    </row>
    <row r="169" spans="2:7" ht="15" customHeight="1">
      <c r="B169" s="57"/>
      <c r="C169" s="75" t="s">
        <v>4</v>
      </c>
      <c r="D169" s="151" t="s">
        <v>2</v>
      </c>
      <c r="E169" s="152">
        <v>0</v>
      </c>
      <c r="F169" s="152">
        <v>0</v>
      </c>
      <c r="G169" s="152">
        <v>0</v>
      </c>
    </row>
    <row r="170" spans="2:7" ht="15" customHeight="1">
      <c r="B170" s="4" t="s">
        <v>171</v>
      </c>
      <c r="C170" s="75" t="s">
        <v>252</v>
      </c>
      <c r="D170" s="153" t="s">
        <v>5</v>
      </c>
      <c r="E170" s="152">
        <v>1</v>
      </c>
      <c r="F170" s="152">
        <v>1</v>
      </c>
      <c r="G170" s="152">
        <v>1</v>
      </c>
    </row>
    <row r="171" spans="2:7" ht="15" customHeight="1">
      <c r="B171" s="4" t="s">
        <v>171</v>
      </c>
      <c r="C171" s="75" t="s">
        <v>6</v>
      </c>
      <c r="D171" s="155" t="s">
        <v>2</v>
      </c>
      <c r="E171" s="130">
        <v>10</v>
      </c>
      <c r="F171" s="130">
        <v>10</v>
      </c>
      <c r="G171" s="130">
        <v>10</v>
      </c>
    </row>
    <row r="172" spans="2:7" ht="15" customHeight="1">
      <c r="B172" s="4" t="s">
        <v>150</v>
      </c>
      <c r="C172" s="75" t="s">
        <v>8</v>
      </c>
      <c r="D172" s="41" t="s">
        <v>5</v>
      </c>
      <c r="E172" s="137">
        <f>IF(ISNUMBER(E64),E64,"")</f>
        <v>2</v>
      </c>
      <c r="F172" s="137">
        <f>IF(ISNUMBER(F64),F64,"")</f>
        <v>2</v>
      </c>
      <c r="G172" s="137">
        <f>IF(ISNUMBER(G64),G64,"")</f>
        <v>2</v>
      </c>
    </row>
    <row r="173" spans="2:7" ht="15" customHeight="1">
      <c r="B173" s="4" t="s">
        <v>151</v>
      </c>
      <c r="C173" s="76" t="s">
        <v>11</v>
      </c>
      <c r="D173" s="40" t="s">
        <v>2</v>
      </c>
      <c r="E173" s="132">
        <f>IF(ISNUMBER(E64),IF(E172&lt;E166,E169,IF(E172&gt;E167,E171,IF(AND(E172&lt;=E167,E172&gt;=E166),IF(ISNUMBER(E172),ROUND(FORECAST(E172,E170:E171,E166:E167),0),"")))),"")</f>
        <v>10</v>
      </c>
      <c r="F173" s="132">
        <f>IF(ISNUMBER(F64),IF(F172&lt;F166,F169,IF(F172&gt;F167,F171,IF(AND(F172&lt;=F167,F172&gt;=F166),IF(ISNUMBER(F172),ROUND(FORECAST(F172,F170:F171,F166:F167),0),"")))),"")</f>
        <v>10</v>
      </c>
      <c r="G173" s="132">
        <f>IF(ISNUMBER(G64),IF(G172&lt;G166,G169,IF(G172&gt;G167,G171,IF(AND(G172&lt;=G167,G172&gt;=G166),IF(ISNUMBER(G172),ROUND(FORECAST(G172,G170:G171,G166:G167),0),"")))),"")</f>
        <v>10</v>
      </c>
    </row>
    <row r="174" spans="2:7" s="25" customFormat="1" ht="15" customHeight="1">
      <c r="B174" s="11" t="s">
        <v>152</v>
      </c>
      <c r="C174" s="77" t="s">
        <v>37</v>
      </c>
      <c r="D174" s="42" t="s">
        <v>2</v>
      </c>
      <c r="E174" s="133">
        <f>IF(G173="","brak danych",ROUND(IF(ISNUMBER(E173),AVERAGE(E173:G173),IF(ISNUMBER(F173),AVERAGE(F173:G173),IF(ISNUMBER(G173),G173,"bd"))),0))</f>
        <v>10</v>
      </c>
    </row>
    <row r="175" spans="2:7" ht="15" customHeight="1">
      <c r="B175" s="46" t="s">
        <v>10</v>
      </c>
      <c r="C175" s="47"/>
      <c r="D175" s="1"/>
      <c r="G175" s="1"/>
    </row>
    <row r="176" spans="2:7" ht="15" customHeight="1">
      <c r="B176" s="44"/>
      <c r="C176" s="10"/>
      <c r="E176" s="45"/>
      <c r="F176" s="45"/>
      <c r="G176" s="45"/>
    </row>
    <row r="177" spans="2:12" ht="15" customHeight="1">
      <c r="B177" s="44"/>
      <c r="C177" s="32" t="str">
        <f>H64</f>
        <v>Kryterium nr 8</v>
      </c>
      <c r="E177" s="45"/>
      <c r="F177" s="45"/>
      <c r="G177" s="45"/>
    </row>
    <row r="178" spans="2:12" ht="30" customHeight="1">
      <c r="B178" s="207" t="str">
        <f>C64</f>
        <v>Pokrycie zadłużenia - wskaźnik pokrycia obsługi długu z przepływów pieniężnych WPOD. Formuła: (CF operacyjny + CF inwestycyjny + CF finansowy (wpływy) + saldo środków na początek okresu) / CF finansowy (wydatki)</v>
      </c>
      <c r="C178" s="208"/>
      <c r="D178" s="208"/>
      <c r="E178" s="70"/>
      <c r="F178" s="70"/>
      <c r="G178" s="71"/>
    </row>
    <row r="179" spans="2:12" ht="15" customHeight="1">
      <c r="B179" s="11" t="s">
        <v>142</v>
      </c>
      <c r="C179" s="11" t="s">
        <v>156</v>
      </c>
      <c r="D179" s="11" t="str">
        <f>D261</f>
        <v>Jedn./Lata</v>
      </c>
      <c r="E179" s="11">
        <f>E56</f>
        <v>2021</v>
      </c>
      <c r="F179" s="11">
        <f>F56</f>
        <v>2022</v>
      </c>
      <c r="G179" s="11">
        <f>G56</f>
        <v>2023</v>
      </c>
    </row>
    <row r="180" spans="2:12" ht="15" customHeight="1">
      <c r="B180" s="4" t="s">
        <v>148</v>
      </c>
      <c r="C180" s="76" t="s">
        <v>32</v>
      </c>
      <c r="D180" s="4" t="str">
        <f>'Dane finansowe'!$D$7</f>
        <v>zł</v>
      </c>
      <c r="E180" s="138" t="str">
        <f>IF(ISNUMBER('Dane finansowe'!E54),'Dane finansowe'!E54,"")</f>
        <v/>
      </c>
      <c r="F180" s="138" t="str">
        <f>IF(ISNUMBER('Dane finansowe'!F54),'Dane finansowe'!F54,"")</f>
        <v/>
      </c>
      <c r="G180" s="138" t="str">
        <f>IF(ISNUMBER('Dane finansowe'!G54),'Dane finansowe'!G54,"")</f>
        <v/>
      </c>
    </row>
    <row r="181" spans="2:12" ht="15" customHeight="1">
      <c r="B181" s="4" t="s">
        <v>149</v>
      </c>
      <c r="C181" s="76" t="s">
        <v>39</v>
      </c>
      <c r="D181" s="4" t="str">
        <f>'Dane finansowe'!$D$7</f>
        <v>zł</v>
      </c>
      <c r="E181" s="138" t="str">
        <f>IF(ISNUMBER('Dane finansowe'!E55),'Dane finansowe'!E55,"")</f>
        <v/>
      </c>
      <c r="F181" s="138" t="str">
        <f>IF(ISNUMBER('Dane finansowe'!F55),'Dane finansowe'!F55,"")</f>
        <v/>
      </c>
      <c r="G181" s="138" t="str">
        <f>IF(ISNUMBER('Dane finansowe'!G55),'Dane finansowe'!G55,"")</f>
        <v/>
      </c>
    </row>
    <row r="182" spans="2:12" ht="15" customHeight="1">
      <c r="B182" s="4" t="s">
        <v>150</v>
      </c>
      <c r="C182" s="75" t="s">
        <v>33</v>
      </c>
      <c r="D182" s="4" t="str">
        <f>'Dane finansowe'!$D$7</f>
        <v>zł</v>
      </c>
      <c r="E182" s="138" t="str">
        <f>IF(ISNUMBER('Dane finansowe'!E57),'Dane finansowe'!E57,"")</f>
        <v/>
      </c>
      <c r="F182" s="138" t="str">
        <f>IF(ISNUMBER('Dane finansowe'!F57),'Dane finansowe'!F57,"")</f>
        <v/>
      </c>
      <c r="G182" s="138" t="str">
        <f>IF(ISNUMBER('Dane finansowe'!G57),'Dane finansowe'!G57,"")</f>
        <v/>
      </c>
    </row>
    <row r="183" spans="2:12" ht="15" customHeight="1">
      <c r="B183" s="4" t="s">
        <v>151</v>
      </c>
      <c r="C183" s="75" t="s">
        <v>183</v>
      </c>
      <c r="D183" s="4" t="str">
        <f>'Dane finansowe'!$D$7</f>
        <v>zł</v>
      </c>
      <c r="E183" s="138" t="str">
        <f>IF(ISNUMBER('Dane finansowe'!E63),'Dane finansowe'!E63,"")</f>
        <v/>
      </c>
      <c r="F183" s="138" t="str">
        <f>IF(ISNUMBER('Dane finansowe'!F63),'Dane finansowe'!F63,"")</f>
        <v/>
      </c>
      <c r="G183" s="138" t="str">
        <f>IF(ISNUMBER('Dane finansowe'!G63),'Dane finansowe'!G63,"")</f>
        <v/>
      </c>
    </row>
    <row r="184" spans="2:12" ht="15" customHeight="1">
      <c r="B184" s="4" t="s">
        <v>152</v>
      </c>
      <c r="C184" s="75" t="s">
        <v>34</v>
      </c>
      <c r="D184" s="4" t="str">
        <f>'Dane finansowe'!$D$7</f>
        <v>zł</v>
      </c>
      <c r="E184" s="138">
        <f>IF(ISNUMBER('Dane finansowe'!E58),'Dane finansowe'!E58,0)</f>
        <v>0</v>
      </c>
      <c r="F184" s="138">
        <f>IF(ISNUMBER('Dane finansowe'!F58),'Dane finansowe'!F58,0)</f>
        <v>0</v>
      </c>
      <c r="G184" s="138">
        <f>IF(ISNUMBER('Dane finansowe'!G58),'Dane finansowe'!G58,0)</f>
        <v>0</v>
      </c>
    </row>
    <row r="185" spans="2:12" s="25" customFormat="1" ht="15" customHeight="1">
      <c r="B185" s="11" t="s">
        <v>155</v>
      </c>
      <c r="C185" s="77" t="s">
        <v>40</v>
      </c>
      <c r="D185" s="11" t="s">
        <v>5</v>
      </c>
      <c r="E185" s="139" t="str">
        <f>IF(AND(ISNUMBER(E180),ISNUMBER(E181),ISNUMBER(E182),ISNUMBER(E183),ISNUMBER(E184)),IF(E184=0,"",(E180+E181+E182+E183)/E184),"")</f>
        <v/>
      </c>
      <c r="F185" s="139" t="str">
        <f>IF(AND(ISNUMBER(F180),ISNUMBER(F181),ISNUMBER(F182),ISNUMBER(F183),ISNUMBER(F184)),IF(F184=0,"",(F180+F181+F182+F183)/F184),"")</f>
        <v/>
      </c>
      <c r="G185" s="139" t="str">
        <f>IF(AND(ISNUMBER(G180),ISNUMBER(G181),ISNUMBER(G182),ISNUMBER(G183),ISNUMBER(G184)),IF(G184=0,"",(G180+G181+G182+G183)/G184),"")</f>
        <v/>
      </c>
    </row>
    <row r="186" spans="2:12" ht="15" customHeight="1"/>
    <row r="187" spans="2:12" ht="15" customHeight="1">
      <c r="E187" s="2"/>
    </row>
    <row r="188" spans="2:12" ht="15" customHeight="1">
      <c r="C188" s="32" t="str">
        <f>H66</f>
        <v>Kryterium nr 9.1</v>
      </c>
    </row>
    <row r="189" spans="2:12" ht="30" customHeight="1">
      <c r="B189" s="200" t="str">
        <f>C66</f>
        <v>Wskaźnik rotacji zapasów</v>
      </c>
      <c r="C189" s="201"/>
      <c r="D189" s="72"/>
      <c r="E189" s="72"/>
      <c r="F189" s="72"/>
      <c r="G189" s="73"/>
      <c r="I189" s="68" t="str">
        <f>B189</f>
        <v>Wskaźnik rotacji zapasów</v>
      </c>
      <c r="J189" s="70"/>
      <c r="K189" s="70"/>
      <c r="L189" s="71"/>
    </row>
    <row r="190" spans="2:12" s="28" customFormat="1" ht="15" customHeight="1">
      <c r="B190" s="3" t="s">
        <v>142</v>
      </c>
      <c r="C190" s="27" t="s">
        <v>156</v>
      </c>
      <c r="D190" s="27" t="s">
        <v>1</v>
      </c>
      <c r="E190" s="33">
        <f>E56</f>
        <v>2021</v>
      </c>
      <c r="F190" s="33">
        <f>F56</f>
        <v>2022</v>
      </c>
      <c r="G190" s="33">
        <f>G56</f>
        <v>2023</v>
      </c>
      <c r="I190" s="27" t="s">
        <v>156</v>
      </c>
      <c r="J190" s="11">
        <f>E56</f>
        <v>2021</v>
      </c>
      <c r="K190" s="11">
        <f>F56</f>
        <v>2022</v>
      </c>
      <c r="L190" s="11">
        <f>G56</f>
        <v>2023</v>
      </c>
    </row>
    <row r="191" spans="2:12" ht="15" customHeight="1">
      <c r="B191" s="57" t="s">
        <v>148</v>
      </c>
      <c r="C191" s="75" t="s">
        <v>3</v>
      </c>
      <c r="D191" s="34"/>
      <c r="E191" s="35"/>
      <c r="F191" s="35"/>
      <c r="G191" s="36"/>
      <c r="I191" s="76" t="s">
        <v>112</v>
      </c>
      <c r="J191" s="149">
        <f>'Dane finansowe'!E23</f>
        <v>0</v>
      </c>
      <c r="K191" s="149">
        <f>'Dane finansowe'!F23</f>
        <v>0</v>
      </c>
      <c r="L191" s="149">
        <f>'Dane finansowe'!G23</f>
        <v>0</v>
      </c>
    </row>
    <row r="192" spans="2:12" ht="15" customHeight="1">
      <c r="B192" s="4" t="s">
        <v>171</v>
      </c>
      <c r="C192" s="75" t="s">
        <v>4</v>
      </c>
      <c r="D192" s="37" t="s">
        <v>35</v>
      </c>
      <c r="E192" s="125">
        <v>15</v>
      </c>
      <c r="F192" s="125">
        <v>15</v>
      </c>
      <c r="G192" s="125">
        <v>15</v>
      </c>
      <c r="I192" s="76" t="s">
        <v>116</v>
      </c>
      <c r="J192" s="149">
        <f>'Dane finansowe'!E35</f>
        <v>0</v>
      </c>
      <c r="K192" s="149">
        <f>'Dane finansowe'!F35</f>
        <v>0</v>
      </c>
      <c r="L192" s="149">
        <f>'Dane finansowe'!G35</f>
        <v>0</v>
      </c>
    </row>
    <row r="193" spans="2:17" ht="15" customHeight="1">
      <c r="B193" s="4" t="s">
        <v>171</v>
      </c>
      <c r="C193" s="75" t="s">
        <v>6</v>
      </c>
      <c r="D193" s="37" t="s">
        <v>35</v>
      </c>
      <c r="E193" s="126">
        <v>30</v>
      </c>
      <c r="F193" s="126">
        <v>30</v>
      </c>
      <c r="G193" s="126">
        <v>30</v>
      </c>
      <c r="I193" s="76" t="s">
        <v>114</v>
      </c>
      <c r="J193" s="149" t="str">
        <f>IF(J192=0,"",J191/J192)</f>
        <v/>
      </c>
      <c r="K193" s="149" t="str">
        <f>IF(K192=0,"",K191/K192)</f>
        <v/>
      </c>
      <c r="L193" s="149" t="str">
        <f>IF(L192=0,"",L191/L192)</f>
        <v/>
      </c>
    </row>
    <row r="194" spans="2:17" ht="15" customHeight="1">
      <c r="B194" s="57" t="s">
        <v>149</v>
      </c>
      <c r="C194" s="75" t="s">
        <v>7</v>
      </c>
      <c r="D194" s="34"/>
      <c r="E194" s="127"/>
      <c r="F194" s="127"/>
      <c r="G194" s="128"/>
    </row>
    <row r="195" spans="2:17" ht="15" customHeight="1">
      <c r="B195" s="4" t="s">
        <v>171</v>
      </c>
      <c r="C195" s="75" t="s">
        <v>4</v>
      </c>
      <c r="D195" s="39" t="s">
        <v>2</v>
      </c>
      <c r="E195" s="129">
        <v>10</v>
      </c>
      <c r="F195" s="129">
        <v>10</v>
      </c>
      <c r="G195" s="129">
        <v>10</v>
      </c>
    </row>
    <row r="196" spans="2:17" ht="15" customHeight="1">
      <c r="B196" s="4" t="s">
        <v>171</v>
      </c>
      <c r="C196" s="75" t="s">
        <v>6</v>
      </c>
      <c r="D196" s="40" t="s">
        <v>2</v>
      </c>
      <c r="E196" s="130">
        <v>0</v>
      </c>
      <c r="F196" s="130">
        <v>0</v>
      </c>
      <c r="G196" s="130">
        <v>0</v>
      </c>
    </row>
    <row r="197" spans="2:17" ht="15" customHeight="1">
      <c r="B197" s="4" t="s">
        <v>150</v>
      </c>
      <c r="C197" s="75" t="s">
        <v>8</v>
      </c>
      <c r="D197" s="41" t="s">
        <v>5</v>
      </c>
      <c r="E197" s="137" t="str">
        <f>IF(ISNUMBER(E66),E66,"")</f>
        <v/>
      </c>
      <c r="F197" s="137" t="str">
        <f>IF(ISNUMBER(F66),F66,"")</f>
        <v/>
      </c>
      <c r="G197" s="137" t="str">
        <f>IF(ISNUMBER(G66),G66,"")</f>
        <v/>
      </c>
    </row>
    <row r="198" spans="2:17" ht="15" customHeight="1">
      <c r="B198" s="4" t="s">
        <v>151</v>
      </c>
      <c r="C198" s="76" t="s">
        <v>11</v>
      </c>
      <c r="D198" s="40" t="s">
        <v>2</v>
      </c>
      <c r="E198" s="132" t="str">
        <f>IF(ISNUMBER(E66),IF(E197&lt;E192,E195,IF(E197&gt;E193,E196,IF(AND(E197&lt;=E193,E197&gt;=E192),IF(ISNUMBER(E197),ROUND(FORECAST(E197,E195:E196,E192:E193),0),"")))),"")</f>
        <v/>
      </c>
      <c r="F198" s="132" t="str">
        <f>IF(ISNUMBER(F66),IF(F197&lt;F192,F195,IF(F197&gt;F193,F196,IF(AND(F197&lt;=F193,F197&gt;=F192),IF(ISNUMBER(F197),ROUND(FORECAST(F197,F195:F196,F192:F193),0),"")))),"")</f>
        <v/>
      </c>
      <c r="G198" s="132" t="str">
        <f>IF(ISNUMBER(G66),IF(G197&lt;G192,G195,IF(G197&gt;G193,G196,IF(AND(G197&lt;=G193,G197&gt;=G192),IF(ISNUMBER(G197),ROUND(FORECAST(G197,G195:G196,G192:G193),0),"")))),"")</f>
        <v/>
      </c>
    </row>
    <row r="199" spans="2:17" s="25" customFormat="1" ht="15" customHeight="1">
      <c r="B199" s="11" t="s">
        <v>152</v>
      </c>
      <c r="C199" s="77" t="s">
        <v>37</v>
      </c>
      <c r="D199" s="42" t="s">
        <v>2</v>
      </c>
      <c r="E199" s="133" t="str">
        <f>IF(G198="","brak danych",ROUND(IF(ISNUMBER(E198),AVERAGE(E198:G198),IF(ISNUMBER(F198),AVERAGE(F198:G198),IF(ISNUMBER(G198),G198,"bd"))),0))</f>
        <v>brak danych</v>
      </c>
      <c r="F199" s="140"/>
      <c r="G199" s="140"/>
    </row>
    <row r="200" spans="2:17" s="25" customFormat="1" ht="15" customHeight="1">
      <c r="B200" s="28"/>
      <c r="D200" s="43"/>
      <c r="E200" s="28"/>
      <c r="F200" s="28"/>
      <c r="G200" s="28"/>
    </row>
    <row r="201" spans="2:17" s="25" customFormat="1" ht="15" customHeight="1">
      <c r="B201" s="28"/>
      <c r="D201" s="43"/>
      <c r="E201" s="28"/>
      <c r="F201" s="28"/>
      <c r="G201" s="28"/>
    </row>
    <row r="202" spans="2:17" ht="30" customHeight="1">
      <c r="C202" s="32" t="str">
        <f>H67</f>
        <v>Kryterium nr 9.2</v>
      </c>
      <c r="E202" s="2"/>
    </row>
    <row r="203" spans="2:17" ht="30" customHeight="1">
      <c r="B203" s="200" t="str">
        <f>C67</f>
        <v>Wskaźnik rotacji należności</v>
      </c>
      <c r="C203" s="218"/>
      <c r="D203" s="72"/>
      <c r="E203" s="72"/>
      <c r="F203" s="72"/>
      <c r="G203" s="73"/>
      <c r="I203" s="68" t="str">
        <f>B203</f>
        <v>Wskaźnik rotacji należności</v>
      </c>
      <c r="J203" s="69"/>
      <c r="K203" s="69"/>
      <c r="L203" s="74"/>
    </row>
    <row r="204" spans="2:17" s="28" customFormat="1" ht="15" customHeight="1">
      <c r="B204" s="3" t="s">
        <v>142</v>
      </c>
      <c r="C204" s="27" t="s">
        <v>156</v>
      </c>
      <c r="D204" s="27" t="s">
        <v>1</v>
      </c>
      <c r="E204" s="33">
        <f>E56</f>
        <v>2021</v>
      </c>
      <c r="F204" s="33">
        <f>F56</f>
        <v>2022</v>
      </c>
      <c r="G204" s="33">
        <f>G56</f>
        <v>2023</v>
      </c>
      <c r="I204" s="27" t="s">
        <v>156</v>
      </c>
      <c r="J204" s="11">
        <f>E56</f>
        <v>2021</v>
      </c>
      <c r="K204" s="11">
        <f>F56</f>
        <v>2022</v>
      </c>
      <c r="L204" s="11">
        <f>G56</f>
        <v>2023</v>
      </c>
      <c r="N204" s="1"/>
    </row>
    <row r="205" spans="2:17" ht="15" customHeight="1">
      <c r="B205" s="57" t="s">
        <v>148</v>
      </c>
      <c r="C205" s="75" t="s">
        <v>3</v>
      </c>
      <c r="D205" s="34"/>
      <c r="E205" s="35"/>
      <c r="F205" s="35"/>
      <c r="G205" s="36"/>
      <c r="I205" s="76" t="s">
        <v>112</v>
      </c>
      <c r="J205" s="149">
        <f>'Dane finansowe'!E23</f>
        <v>0</v>
      </c>
      <c r="K205" s="149">
        <f>'Dane finansowe'!F23</f>
        <v>0</v>
      </c>
      <c r="L205" s="149">
        <f>'Dane finansowe'!G23</f>
        <v>0</v>
      </c>
    </row>
    <row r="206" spans="2:17" ht="15" customHeight="1">
      <c r="B206" s="4" t="s">
        <v>171</v>
      </c>
      <c r="C206" s="75" t="s">
        <v>4</v>
      </c>
      <c r="D206" s="37" t="s">
        <v>35</v>
      </c>
      <c r="E206" s="125">
        <v>30</v>
      </c>
      <c r="F206" s="125">
        <v>30</v>
      </c>
      <c r="G206" s="125">
        <v>30</v>
      </c>
      <c r="I206" s="76" t="s">
        <v>113</v>
      </c>
      <c r="J206" s="149">
        <f>'Dane finansowe'!E36</f>
        <v>0</v>
      </c>
      <c r="K206" s="149">
        <f>'Dane finansowe'!F36</f>
        <v>0</v>
      </c>
      <c r="L206" s="149">
        <f>'Dane finansowe'!G36</f>
        <v>0</v>
      </c>
      <c r="Q206" s="48"/>
    </row>
    <row r="207" spans="2:17" ht="15" customHeight="1">
      <c r="B207" s="4" t="s">
        <v>171</v>
      </c>
      <c r="C207" s="75" t="s">
        <v>6</v>
      </c>
      <c r="D207" s="37" t="s">
        <v>35</v>
      </c>
      <c r="E207" s="126">
        <v>90</v>
      </c>
      <c r="F207" s="126">
        <v>90</v>
      </c>
      <c r="G207" s="126">
        <v>90</v>
      </c>
      <c r="I207" s="76" t="s">
        <v>114</v>
      </c>
      <c r="J207" s="149" t="str">
        <f>IF(J206=0,"",J205/J206)</f>
        <v/>
      </c>
      <c r="K207" s="149" t="str">
        <f>IF(K206=0,"",K205/K206)</f>
        <v/>
      </c>
      <c r="L207" s="149" t="str">
        <f>IF(L206=0,"",L205/L206)</f>
        <v/>
      </c>
    </row>
    <row r="208" spans="2:17" ht="15" customHeight="1">
      <c r="B208" s="57" t="s">
        <v>149</v>
      </c>
      <c r="C208" s="75" t="s">
        <v>7</v>
      </c>
      <c r="D208" s="34"/>
      <c r="E208" s="127"/>
      <c r="F208" s="127"/>
      <c r="G208" s="128"/>
    </row>
    <row r="209" spans="2:12" ht="15" customHeight="1">
      <c r="B209" s="4" t="s">
        <v>171</v>
      </c>
      <c r="C209" s="75" t="s">
        <v>4</v>
      </c>
      <c r="D209" s="39" t="s">
        <v>2</v>
      </c>
      <c r="E209" s="129">
        <v>10</v>
      </c>
      <c r="F209" s="129">
        <v>10</v>
      </c>
      <c r="G209" s="129">
        <v>10</v>
      </c>
    </row>
    <row r="210" spans="2:12" ht="15" customHeight="1">
      <c r="B210" s="4" t="s">
        <v>171</v>
      </c>
      <c r="C210" s="75" t="s">
        <v>6</v>
      </c>
      <c r="D210" s="40" t="s">
        <v>2</v>
      </c>
      <c r="E210" s="130">
        <v>0</v>
      </c>
      <c r="F210" s="130">
        <v>0</v>
      </c>
      <c r="G210" s="130">
        <v>0</v>
      </c>
    </row>
    <row r="211" spans="2:12" ht="15" customHeight="1">
      <c r="B211" s="4" t="s">
        <v>150</v>
      </c>
      <c r="C211" s="75" t="s">
        <v>8</v>
      </c>
      <c r="D211" s="41" t="s">
        <v>5</v>
      </c>
      <c r="E211" s="137" t="str">
        <f>IF(ISNUMBER(E67),E67,"")</f>
        <v/>
      </c>
      <c r="F211" s="137" t="str">
        <f>IF(ISNUMBER(F67),F67,"")</f>
        <v/>
      </c>
      <c r="G211" s="137" t="str">
        <f>IF(ISNUMBER(G67),G67,"")</f>
        <v/>
      </c>
    </row>
    <row r="212" spans="2:12" ht="15" customHeight="1">
      <c r="B212" s="4" t="s">
        <v>151</v>
      </c>
      <c r="C212" s="76" t="s">
        <v>11</v>
      </c>
      <c r="D212" s="40" t="s">
        <v>2</v>
      </c>
      <c r="E212" s="132" t="str">
        <f>IF(ISNUMBER(E67),IF(E211&lt;E206,E209,IF(E211&gt;E207,E210,IF(AND(E211&lt;=E207,E211&gt;=E206),IF(ISNUMBER(E211),ROUND(FORECAST(E211,E209:E210,E206:E207),0),"")))),"")</f>
        <v/>
      </c>
      <c r="F212" s="132" t="str">
        <f>IF(ISNUMBER(F67),IF(F211&lt;F206,F209,IF(F211&gt;F207,F210,IF(AND(F211&lt;=F207,F211&gt;=F206),IF(ISNUMBER(F211),ROUND(FORECAST(F211,F209:F210,F206:F207),0),"")))),"")</f>
        <v/>
      </c>
      <c r="G212" s="132" t="str">
        <f>IF(ISNUMBER(G67),IF(G211&lt;G206,G209,IF(G211&gt;G207,G210,IF(AND(G211&lt;=G207,G211&gt;=G206),IF(ISNUMBER(G211),ROUND(FORECAST(G211,G209:G210,G206:G207),0),"")))),"")</f>
        <v/>
      </c>
    </row>
    <row r="213" spans="2:12" s="25" customFormat="1" ht="15" customHeight="1">
      <c r="B213" s="11" t="s">
        <v>152</v>
      </c>
      <c r="C213" s="77" t="s">
        <v>37</v>
      </c>
      <c r="D213" s="42" t="s">
        <v>2</v>
      </c>
      <c r="E213" s="133" t="str">
        <f>IF(G212="","brak danych",ROUND(IF(ISNUMBER(E212),AVERAGE(E212:G212),IF(ISNUMBER(F212),AVERAGE(F212:G212),IF(ISNUMBER(G212),G212,"bd"))),0))</f>
        <v>brak danych</v>
      </c>
      <c r="F213" s="140"/>
      <c r="G213" s="140"/>
    </row>
    <row r="214" spans="2:12" s="25" customFormat="1" ht="15" customHeight="1">
      <c r="B214" s="28"/>
      <c r="D214" s="43"/>
      <c r="E214" s="28"/>
      <c r="F214" s="28"/>
      <c r="G214" s="28"/>
    </row>
    <row r="215" spans="2:12" s="25" customFormat="1" ht="15" customHeight="1">
      <c r="B215" s="28"/>
      <c r="D215" s="43"/>
      <c r="E215" s="28"/>
      <c r="F215" s="28"/>
      <c r="G215" s="28"/>
    </row>
    <row r="216" spans="2:12" ht="15" customHeight="1">
      <c r="C216" s="32" t="str">
        <f>H68</f>
        <v>Kryterium nr 9.3</v>
      </c>
    </row>
    <row r="217" spans="2:12" ht="30" customHeight="1">
      <c r="B217" s="200" t="str">
        <f>C68</f>
        <v>Wskaźnik rotacji zobowiązań krótkoterminowych</v>
      </c>
      <c r="C217" s="201"/>
      <c r="D217" s="72"/>
      <c r="E217" s="72"/>
      <c r="F217" s="72"/>
      <c r="G217" s="73"/>
      <c r="I217" s="68" t="str">
        <f>B217</f>
        <v>Wskaźnik rotacji zobowiązań krótkoterminowych</v>
      </c>
      <c r="J217" s="69"/>
      <c r="K217" s="69"/>
      <c r="L217" s="74"/>
    </row>
    <row r="218" spans="2:12" s="28" customFormat="1" ht="15" customHeight="1">
      <c r="B218" s="3" t="s">
        <v>142</v>
      </c>
      <c r="C218" s="27" t="s">
        <v>156</v>
      </c>
      <c r="D218" s="27" t="s">
        <v>1</v>
      </c>
      <c r="E218" s="33">
        <f>E56</f>
        <v>2021</v>
      </c>
      <c r="F218" s="33">
        <f>F56</f>
        <v>2022</v>
      </c>
      <c r="G218" s="33">
        <f>G56</f>
        <v>2023</v>
      </c>
      <c r="I218" s="27" t="s">
        <v>156</v>
      </c>
      <c r="J218" s="11">
        <f>E56</f>
        <v>2021</v>
      </c>
      <c r="K218" s="11">
        <f>F56</f>
        <v>2022</v>
      </c>
      <c r="L218" s="11">
        <f>G56</f>
        <v>2023</v>
      </c>
    </row>
    <row r="219" spans="2:12" ht="15" customHeight="1">
      <c r="B219" s="57" t="s">
        <v>148</v>
      </c>
      <c r="C219" s="75" t="s">
        <v>3</v>
      </c>
      <c r="D219" s="34"/>
      <c r="E219" s="35"/>
      <c r="F219" s="35"/>
      <c r="G219" s="36"/>
      <c r="I219" s="76" t="s">
        <v>112</v>
      </c>
      <c r="J219" s="149">
        <f>'Dane finansowe'!E23</f>
        <v>0</v>
      </c>
      <c r="K219" s="149">
        <f>'Dane finansowe'!F23</f>
        <v>0</v>
      </c>
      <c r="L219" s="149">
        <f>'Dane finansowe'!G23</f>
        <v>0</v>
      </c>
    </row>
    <row r="220" spans="2:12" ht="15" customHeight="1">
      <c r="B220" s="4" t="s">
        <v>171</v>
      </c>
      <c r="C220" s="75" t="s">
        <v>4</v>
      </c>
      <c r="D220" s="37" t="s">
        <v>35</v>
      </c>
      <c r="E220" s="125">
        <v>30</v>
      </c>
      <c r="F220" s="125">
        <v>30</v>
      </c>
      <c r="G220" s="125">
        <v>30</v>
      </c>
      <c r="I220" s="76" t="s">
        <v>115</v>
      </c>
      <c r="J220" s="149">
        <f>'Dane finansowe'!E49</f>
        <v>0</v>
      </c>
      <c r="K220" s="149">
        <f>'Dane finansowe'!F49</f>
        <v>0</v>
      </c>
      <c r="L220" s="149">
        <f>'Dane finansowe'!G49</f>
        <v>0</v>
      </c>
    </row>
    <row r="221" spans="2:12" ht="15" customHeight="1">
      <c r="B221" s="4" t="s">
        <v>171</v>
      </c>
      <c r="C221" s="75" t="s">
        <v>6</v>
      </c>
      <c r="D221" s="37" t="s">
        <v>35</v>
      </c>
      <c r="E221" s="126">
        <v>90</v>
      </c>
      <c r="F221" s="126">
        <v>90</v>
      </c>
      <c r="G221" s="126">
        <v>90</v>
      </c>
      <c r="I221" s="76" t="s">
        <v>114</v>
      </c>
      <c r="J221" s="149" t="str">
        <f>IF(J220=0,"",J219/J220)</f>
        <v/>
      </c>
      <c r="K221" s="149" t="str">
        <f>IF(K220=0,"",K219/K220)</f>
        <v/>
      </c>
      <c r="L221" s="149" t="str">
        <f>IF(L220=0,"",L219/L220)</f>
        <v/>
      </c>
    </row>
    <row r="222" spans="2:12" ht="15" customHeight="1">
      <c r="B222" s="57" t="s">
        <v>149</v>
      </c>
      <c r="C222" s="75" t="s">
        <v>7</v>
      </c>
      <c r="D222" s="34"/>
      <c r="E222" s="127"/>
      <c r="F222" s="127"/>
      <c r="G222" s="128"/>
      <c r="I222" s="78"/>
    </row>
    <row r="223" spans="2:12" ht="15" customHeight="1">
      <c r="B223" s="4" t="s">
        <v>171</v>
      </c>
      <c r="C223" s="75" t="s">
        <v>4</v>
      </c>
      <c r="D223" s="39" t="s">
        <v>2</v>
      </c>
      <c r="E223" s="129">
        <v>10</v>
      </c>
      <c r="F223" s="129">
        <v>10</v>
      </c>
      <c r="G223" s="129">
        <v>10</v>
      </c>
    </row>
    <row r="224" spans="2:12" ht="15" customHeight="1">
      <c r="B224" s="4" t="s">
        <v>171</v>
      </c>
      <c r="C224" s="75" t="s">
        <v>6</v>
      </c>
      <c r="D224" s="40" t="s">
        <v>2</v>
      </c>
      <c r="E224" s="130">
        <v>0</v>
      </c>
      <c r="F224" s="130">
        <v>0</v>
      </c>
      <c r="G224" s="130">
        <v>0</v>
      </c>
    </row>
    <row r="225" spans="2:7" ht="15" customHeight="1">
      <c r="B225" s="4" t="s">
        <v>150</v>
      </c>
      <c r="C225" s="75" t="s">
        <v>8</v>
      </c>
      <c r="D225" s="41" t="s">
        <v>5</v>
      </c>
      <c r="E225" s="137" t="str">
        <f>IF(ISNUMBER(E68),E68,"")</f>
        <v/>
      </c>
      <c r="F225" s="137" t="str">
        <f>IF(ISNUMBER(F68),F68,"")</f>
        <v/>
      </c>
      <c r="G225" s="137" t="str">
        <f>IF(ISNUMBER(G68),G68,"")</f>
        <v/>
      </c>
    </row>
    <row r="226" spans="2:7" ht="15" customHeight="1">
      <c r="B226" s="4" t="s">
        <v>151</v>
      </c>
      <c r="C226" s="76" t="s">
        <v>11</v>
      </c>
      <c r="D226" s="40" t="s">
        <v>2</v>
      </c>
      <c r="E226" s="132" t="str">
        <f>IF(ISNUMBER(E68),IF(E225&lt;E220,E223,IF(E225&gt;E221,E224,IF(AND(E225&lt;=E221,E225&gt;=E220),IF(ISNUMBER(E225),ROUND(FORECAST(E225,E223:E224,E220:E221),0),"")))),"")</f>
        <v/>
      </c>
      <c r="F226" s="132" t="str">
        <f>IF(ISNUMBER(F68),IF(F225&lt;F220,F223,IF(F225&gt;F221,F224,IF(AND(F225&lt;=F221,F225&gt;=F220),IF(ISNUMBER(F225),ROUND(FORECAST(F225,F223:F224,F220:F221),0),"")))),"")</f>
        <v/>
      </c>
      <c r="G226" s="132" t="str">
        <f>IF(ISNUMBER(G68),IF(G225&lt;G220,G223,IF(G225&gt;G221,G224,IF(AND(G225&lt;=G221,G225&gt;=G220),IF(ISNUMBER(G225),ROUND(FORECAST(G225,G223:G224,G220:G221),0),"")))),"")</f>
        <v/>
      </c>
    </row>
    <row r="227" spans="2:7" s="25" customFormat="1" ht="15" customHeight="1">
      <c r="B227" s="11" t="s">
        <v>152</v>
      </c>
      <c r="C227" s="77" t="s">
        <v>37</v>
      </c>
      <c r="D227" s="42" t="s">
        <v>2</v>
      </c>
      <c r="E227" s="133" t="str">
        <f>IF(G226="","brak danych",ROUND(IF(ISNUMBER(E226),AVERAGE(E226:G226),IF(ISNUMBER(F226),AVERAGE(F226:G226),IF(ISNUMBER(G226),G226,"bd"))),0))</f>
        <v>brak danych</v>
      </c>
      <c r="F227" s="140"/>
      <c r="G227" s="140"/>
    </row>
    <row r="228" spans="2:7" ht="15" customHeight="1"/>
    <row r="229" spans="2:7" ht="15" customHeight="1">
      <c r="E229" s="2"/>
    </row>
    <row r="230" spans="2:7" ht="15" customHeight="1">
      <c r="C230" s="32" t="str">
        <f>H69</f>
        <v>Kryterium nr 10</v>
      </c>
      <c r="E230" s="2"/>
    </row>
    <row r="231" spans="2:7" ht="30" customHeight="1">
      <c r="B231" s="200" t="str">
        <f>C69</f>
        <v>Pokrycie aktywów stałych: kapitał własny / aktywa trwałe</v>
      </c>
      <c r="C231" s="201"/>
      <c r="D231" s="72"/>
      <c r="E231" s="72"/>
      <c r="F231" s="72"/>
      <c r="G231" s="73"/>
    </row>
    <row r="232" spans="2:7" s="28" customFormat="1" ht="15" customHeight="1">
      <c r="B232" s="3" t="s">
        <v>142</v>
      </c>
      <c r="C232" s="27" t="s">
        <v>156</v>
      </c>
      <c r="D232" s="27" t="s">
        <v>1</v>
      </c>
      <c r="E232" s="33">
        <f>E56</f>
        <v>2021</v>
      </c>
      <c r="F232" s="33">
        <f>F56</f>
        <v>2022</v>
      </c>
      <c r="G232" s="33">
        <f>G56</f>
        <v>2023</v>
      </c>
    </row>
    <row r="233" spans="2:7" ht="15" customHeight="1">
      <c r="B233" s="57" t="s">
        <v>148</v>
      </c>
      <c r="C233" s="75" t="s">
        <v>3</v>
      </c>
      <c r="D233" s="34"/>
      <c r="E233" s="35"/>
      <c r="F233" s="35"/>
      <c r="G233" s="36"/>
    </row>
    <row r="234" spans="2:7" ht="15" customHeight="1">
      <c r="B234" s="4" t="s">
        <v>171</v>
      </c>
      <c r="C234" s="75" t="s">
        <v>4</v>
      </c>
      <c r="D234" s="37" t="s">
        <v>5</v>
      </c>
      <c r="E234" s="154">
        <v>0.8</v>
      </c>
      <c r="F234" s="154">
        <v>0.8</v>
      </c>
      <c r="G234" s="154">
        <v>0.8</v>
      </c>
    </row>
    <row r="235" spans="2:7" ht="15" customHeight="1">
      <c r="B235" s="4" t="s">
        <v>171</v>
      </c>
      <c r="C235" s="75" t="s">
        <v>6</v>
      </c>
      <c r="D235" s="37" t="s">
        <v>5</v>
      </c>
      <c r="E235" s="156">
        <v>1.1000000000000001</v>
      </c>
      <c r="F235" s="156">
        <v>1.1000000000000001</v>
      </c>
      <c r="G235" s="156">
        <v>1.1000000000000001</v>
      </c>
    </row>
    <row r="236" spans="2:7" ht="15" customHeight="1">
      <c r="B236" s="57" t="s">
        <v>149</v>
      </c>
      <c r="C236" s="75" t="s">
        <v>7</v>
      </c>
      <c r="D236" s="34"/>
      <c r="E236" s="127"/>
      <c r="F236" s="127"/>
      <c r="G236" s="128"/>
    </row>
    <row r="237" spans="2:7" ht="15" customHeight="1">
      <c r="B237" s="57"/>
      <c r="C237" s="75" t="s">
        <v>4</v>
      </c>
      <c r="D237" s="151" t="s">
        <v>2</v>
      </c>
      <c r="E237" s="152">
        <v>0</v>
      </c>
      <c r="F237" s="152">
        <v>0</v>
      </c>
      <c r="G237" s="152">
        <v>0</v>
      </c>
    </row>
    <row r="238" spans="2:7" ht="15" customHeight="1">
      <c r="B238" s="4" t="s">
        <v>171</v>
      </c>
      <c r="C238" s="75" t="s">
        <v>252</v>
      </c>
      <c r="D238" s="153" t="s">
        <v>5</v>
      </c>
      <c r="E238" s="154">
        <v>1.1000000000000001</v>
      </c>
      <c r="F238" s="154">
        <v>1.1000000000000001</v>
      </c>
      <c r="G238" s="154">
        <v>1.1000000000000001</v>
      </c>
    </row>
    <row r="239" spans="2:7" ht="15" customHeight="1">
      <c r="B239" s="4" t="s">
        <v>171</v>
      </c>
      <c r="C239" s="75" t="s">
        <v>6</v>
      </c>
      <c r="D239" s="155" t="s">
        <v>2</v>
      </c>
      <c r="E239" s="130">
        <v>5</v>
      </c>
      <c r="F239" s="130">
        <v>5</v>
      </c>
      <c r="G239" s="130">
        <v>5</v>
      </c>
    </row>
    <row r="240" spans="2:7" ht="15" customHeight="1">
      <c r="B240" s="4" t="s">
        <v>150</v>
      </c>
      <c r="C240" s="75" t="s">
        <v>8</v>
      </c>
      <c r="D240" s="41" t="s">
        <v>5</v>
      </c>
      <c r="E240" s="131" t="str">
        <f>IF(ISNUMBER(E69),E69,"")</f>
        <v/>
      </c>
      <c r="F240" s="131" t="str">
        <f>IF(ISNUMBER(F69),F69,"")</f>
        <v/>
      </c>
      <c r="G240" s="131" t="str">
        <f>IF(ISNUMBER(G69),G69,"")</f>
        <v/>
      </c>
    </row>
    <row r="241" spans="2:7" ht="15" customHeight="1">
      <c r="B241" s="4" t="s">
        <v>151</v>
      </c>
      <c r="C241" s="76" t="s">
        <v>11</v>
      </c>
      <c r="D241" s="40" t="s">
        <v>2</v>
      </c>
      <c r="E241" s="132" t="str">
        <f>IF(ISNUMBER(E69),IF(E240&lt;E234,E237,IF(E240&gt;E235,E239,IF(AND(E240&lt;=E235,E240&gt;=E234),IF(ISNUMBER(E240),ROUND(FORECAST(E240,E238:E239,E234:E235),0),"")))),"")</f>
        <v/>
      </c>
      <c r="F241" s="132" t="str">
        <f>IF(ISNUMBER(F69),IF(F240&lt;F234,F237,IF(F240&gt;F235,F239,IF(AND(F240&lt;=F235,F240&gt;=F234),IF(ISNUMBER(F240),ROUND(FORECAST(F240,F238:F239,F234:F235),0),"")))),"")</f>
        <v/>
      </c>
      <c r="G241" s="132" t="str">
        <f>IF(ISNUMBER(G69),IF(G240&lt;G234,G237,IF(G240&gt;G235,G239,IF(AND(G240&lt;=G235,G240&gt;=G234),IF(ISNUMBER(G240),ROUND(FORECAST(G240,G238:G239,G234:G235),0),"")))),"")</f>
        <v/>
      </c>
    </row>
    <row r="242" spans="2:7" s="25" customFormat="1" ht="15" customHeight="1">
      <c r="B242" s="11" t="s">
        <v>152</v>
      </c>
      <c r="C242" s="77" t="s">
        <v>37</v>
      </c>
      <c r="D242" s="42" t="s">
        <v>2</v>
      </c>
      <c r="E242" s="133" t="str">
        <f>IF(G241="","brak danych",ROUND(IF(ISNUMBER(E241),AVERAGE(E241:G241),IF(ISNUMBER(F241),AVERAGE(F241:G241),IF(ISNUMBER(G241),G241,"bd"))),0))</f>
        <v>brak danych</v>
      </c>
      <c r="F242" s="140"/>
      <c r="G242" s="140"/>
    </row>
    <row r="243" spans="2:7" ht="15" customHeight="1">
      <c r="E243" s="2"/>
    </row>
    <row r="244" spans="2:7" ht="15" customHeight="1"/>
    <row r="245" spans="2:7" ht="15" customHeight="1">
      <c r="C245" s="32" t="str">
        <f>H71</f>
        <v>Kryterium nr 12</v>
      </c>
      <c r="E245" s="2"/>
    </row>
    <row r="246" spans="2:7" ht="30" customHeight="1">
      <c r="B246" s="200" t="str">
        <f>C71</f>
        <v>Analiza dyskryminacyjna - model prof. E. Mączyńskiej</v>
      </c>
      <c r="C246" s="201"/>
      <c r="D246" s="72"/>
      <c r="E246" s="72"/>
      <c r="F246" s="72"/>
      <c r="G246" s="73"/>
    </row>
    <row r="247" spans="2:7" s="28" customFormat="1" ht="15" customHeight="1">
      <c r="B247" s="3" t="s">
        <v>142</v>
      </c>
      <c r="C247" s="27" t="s">
        <v>156</v>
      </c>
      <c r="D247" s="27" t="s">
        <v>1</v>
      </c>
      <c r="E247" s="33">
        <f>E56</f>
        <v>2021</v>
      </c>
      <c r="F247" s="33">
        <f>F56</f>
        <v>2022</v>
      </c>
      <c r="G247" s="33">
        <f>G56</f>
        <v>2023</v>
      </c>
    </row>
    <row r="248" spans="2:7" ht="15" customHeight="1">
      <c r="B248" s="57" t="s">
        <v>148</v>
      </c>
      <c r="C248" s="75" t="s">
        <v>3</v>
      </c>
      <c r="D248" s="34"/>
      <c r="E248" s="35"/>
      <c r="F248" s="35"/>
      <c r="G248" s="36"/>
    </row>
    <row r="249" spans="2:7" ht="15" customHeight="1">
      <c r="B249" s="4" t="s">
        <v>171</v>
      </c>
      <c r="C249" s="75" t="s">
        <v>4</v>
      </c>
      <c r="D249" s="37" t="s">
        <v>5</v>
      </c>
      <c r="E249" s="125">
        <v>0</v>
      </c>
      <c r="F249" s="125">
        <v>0</v>
      </c>
      <c r="G249" s="125">
        <v>0</v>
      </c>
    </row>
    <row r="250" spans="2:7" ht="15" customHeight="1">
      <c r="B250" s="4" t="s">
        <v>171</v>
      </c>
      <c r="C250" s="75" t="s">
        <v>6</v>
      </c>
      <c r="D250" s="37" t="s">
        <v>5</v>
      </c>
      <c r="E250" s="126">
        <v>2</v>
      </c>
      <c r="F250" s="126">
        <v>2</v>
      </c>
      <c r="G250" s="126">
        <v>2</v>
      </c>
    </row>
    <row r="251" spans="2:7" ht="15" customHeight="1">
      <c r="B251" s="57" t="s">
        <v>149</v>
      </c>
      <c r="C251" s="75" t="s">
        <v>7</v>
      </c>
      <c r="D251" s="34"/>
      <c r="E251" s="127"/>
      <c r="F251" s="127"/>
      <c r="G251" s="128"/>
    </row>
    <row r="252" spans="2:7" ht="15" customHeight="1">
      <c r="B252" s="4" t="s">
        <v>171</v>
      </c>
      <c r="C252" s="75" t="s">
        <v>4</v>
      </c>
      <c r="D252" s="39" t="s">
        <v>2</v>
      </c>
      <c r="E252" s="129">
        <v>0</v>
      </c>
      <c r="F252" s="129">
        <v>0</v>
      </c>
      <c r="G252" s="129">
        <v>0</v>
      </c>
    </row>
    <row r="253" spans="2:7" ht="15" customHeight="1">
      <c r="B253" s="4" t="s">
        <v>171</v>
      </c>
      <c r="C253" s="75" t="s">
        <v>6</v>
      </c>
      <c r="D253" s="40" t="s">
        <v>2</v>
      </c>
      <c r="E253" s="130">
        <v>10</v>
      </c>
      <c r="F253" s="130">
        <v>10</v>
      </c>
      <c r="G253" s="130">
        <v>10</v>
      </c>
    </row>
    <row r="254" spans="2:7" ht="15" customHeight="1">
      <c r="B254" s="4" t="s">
        <v>150</v>
      </c>
      <c r="C254" s="75" t="s">
        <v>8</v>
      </c>
      <c r="D254" s="41" t="s">
        <v>5</v>
      </c>
      <c r="E254" s="131" t="str">
        <f>IF(ISNUMBER(E71),E71,"")</f>
        <v/>
      </c>
      <c r="F254" s="131" t="str">
        <f>IF(ISNUMBER(F71),F71,"")</f>
        <v/>
      </c>
      <c r="G254" s="131" t="str">
        <f>IF(ISNUMBER(G71),G71,"")</f>
        <v/>
      </c>
    </row>
    <row r="255" spans="2:7" ht="15" customHeight="1">
      <c r="B255" s="4" t="s">
        <v>151</v>
      </c>
      <c r="C255" s="76" t="s">
        <v>11</v>
      </c>
      <c r="D255" s="40" t="s">
        <v>2</v>
      </c>
      <c r="E255" s="132" t="str">
        <f>IF(ISNUMBER(E71),IF(E254&lt;E249,E252,IF(E254&gt;E250,E253,IF(AND(E254&lt;=E250,E254&gt;=E249),IF(ISNUMBER(E254),ROUND(FORECAST(E254,E252:E253,E249:E250),0),"")))),"")</f>
        <v/>
      </c>
      <c r="F255" s="132" t="str">
        <f>IF(ISNUMBER(F71),IF(F254&lt;F249,F252,IF(F254&gt;F250,F253,IF(AND(F254&lt;=F250,F254&gt;=F249),IF(ISNUMBER(F254),ROUND(FORECAST(F254,F252:F253,F249:F250),0),"")))),"")</f>
        <v/>
      </c>
      <c r="G255" s="132" t="str">
        <f>IF(ISNUMBER(G71),IF(G254&lt;G249,G252,IF(G254&gt;G250,G253,IF(AND(G254&lt;=G250,G254&gt;=G249),IF(ISNUMBER(G254),ROUND(FORECAST(G254,G252:G253,G249:G250),0),"")))),"")</f>
        <v/>
      </c>
    </row>
    <row r="256" spans="2:7" s="25" customFormat="1" ht="15" customHeight="1">
      <c r="B256" s="11" t="s">
        <v>152</v>
      </c>
      <c r="C256" s="77" t="s">
        <v>37</v>
      </c>
      <c r="D256" s="42" t="s">
        <v>2</v>
      </c>
      <c r="E256" s="133" t="str">
        <f>IF(G255="","brak danych",ROUND(IF(ISNUMBER(E255),AVERAGE(E255:G255),IF(ISNUMBER(F255),AVERAGE(F255:G255),IF(ISNUMBER(G255),G255,"bd"))),0))</f>
        <v>brak danych</v>
      </c>
      <c r="F256" s="140"/>
      <c r="G256" s="140"/>
    </row>
    <row r="257" spans="2:11" ht="15" customHeight="1">
      <c r="E257" s="2"/>
    </row>
    <row r="258" spans="2:11" s="25" customFormat="1" ht="15" customHeight="1">
      <c r="B258" s="28"/>
    </row>
    <row r="259" spans="2:11" ht="15" customHeight="1">
      <c r="C259" s="32" t="str">
        <f>H71</f>
        <v>Kryterium nr 12</v>
      </c>
    </row>
    <row r="260" spans="2:11" ht="30" customHeight="1">
      <c r="B260" s="200" t="str">
        <f>C71</f>
        <v>Analiza dyskryminacyjna - model prof. E. Mączyńskiej</v>
      </c>
      <c r="C260" s="201"/>
      <c r="D260" s="70"/>
      <c r="E260" s="70"/>
      <c r="F260" s="70"/>
      <c r="G260" s="71"/>
    </row>
    <row r="261" spans="2:11" ht="15" customHeight="1">
      <c r="B261" s="11" t="str">
        <f t="shared" ref="B261:G261" si="7">B56</f>
        <v>Lp.</v>
      </c>
      <c r="C261" s="11" t="str">
        <f t="shared" si="7"/>
        <v>Wyszczególnienie</v>
      </c>
      <c r="D261" s="11" t="str">
        <f t="shared" si="7"/>
        <v>Jedn./Lata</v>
      </c>
      <c r="E261" s="11">
        <f t="shared" si="7"/>
        <v>2021</v>
      </c>
      <c r="F261" s="11">
        <f t="shared" si="7"/>
        <v>2022</v>
      </c>
      <c r="G261" s="11">
        <f t="shared" si="7"/>
        <v>2023</v>
      </c>
      <c r="I261" s="209"/>
      <c r="J261" s="210"/>
      <c r="K261" s="211"/>
    </row>
    <row r="262" spans="2:11" ht="15" customHeight="1">
      <c r="B262" s="4" t="s">
        <v>148</v>
      </c>
      <c r="C262" s="79" t="s">
        <v>17</v>
      </c>
      <c r="D262" s="30" t="s">
        <v>5</v>
      </c>
      <c r="E262" s="141">
        <f>IF('Dane finansowe'!E46=0,0,('Dane finansowe'!E30+'Dane finansowe'!E25)/'Dane finansowe'!E46)</f>
        <v>0</v>
      </c>
      <c r="F262" s="141">
        <f>IF('Dane finansowe'!F46=0,0,('Dane finansowe'!F30+'Dane finansowe'!F25)/'Dane finansowe'!F46)</f>
        <v>0</v>
      </c>
      <c r="G262" s="141">
        <f>IF('Dane finansowe'!G46=0,0,('Dane finansowe'!G30+'Dane finansowe'!G25)/'Dane finansowe'!G46)</f>
        <v>0</v>
      </c>
      <c r="I262" s="212" t="s">
        <v>12</v>
      </c>
      <c r="J262" s="213"/>
      <c r="K262" s="214"/>
    </row>
    <row r="263" spans="2:11" ht="15" customHeight="1">
      <c r="B263" s="4" t="s">
        <v>149</v>
      </c>
      <c r="C263" s="79" t="s">
        <v>18</v>
      </c>
      <c r="D263" s="30" t="s">
        <v>5</v>
      </c>
      <c r="E263" s="141">
        <f>IF('Dane finansowe'!E46=0,0,'Dane finansowe'!E42/'Dane finansowe'!E46)</f>
        <v>0</v>
      </c>
      <c r="F263" s="141">
        <f>IF('Dane finansowe'!F46=0,0,'Dane finansowe'!F42/'Dane finansowe'!F46)</f>
        <v>0</v>
      </c>
      <c r="G263" s="141">
        <f>IF('Dane finansowe'!G46=0,0,'Dane finansowe'!G42/'Dane finansowe'!G46)</f>
        <v>0</v>
      </c>
      <c r="I263" s="212" t="s">
        <v>13</v>
      </c>
      <c r="J263" s="213"/>
      <c r="K263" s="214"/>
    </row>
    <row r="264" spans="2:11" ht="15" customHeight="1">
      <c r="B264" s="4" t="s">
        <v>150</v>
      </c>
      <c r="C264" s="77" t="s">
        <v>19</v>
      </c>
      <c r="D264" s="30" t="s">
        <v>5</v>
      </c>
      <c r="E264" s="141">
        <f>IF('Dane finansowe'!E42=0,0,'Dane finansowe'!E27/'Dane finansowe'!E42)</f>
        <v>0</v>
      </c>
      <c r="F264" s="141">
        <f>IF('Dane finansowe'!F42=0,0,'Dane finansowe'!F27/'Dane finansowe'!F42)</f>
        <v>0</v>
      </c>
      <c r="G264" s="141">
        <f>IF('Dane finansowe'!G42=0,0,'Dane finansowe'!G27/'Dane finansowe'!G42)</f>
        <v>0</v>
      </c>
      <c r="I264" s="212" t="s">
        <v>14</v>
      </c>
      <c r="J264" s="213"/>
      <c r="K264" s="214"/>
    </row>
    <row r="265" spans="2:11" ht="15" customHeight="1">
      <c r="B265" s="4" t="s">
        <v>151</v>
      </c>
      <c r="C265" s="79" t="s">
        <v>20</v>
      </c>
      <c r="D265" s="30" t="s">
        <v>5</v>
      </c>
      <c r="E265" s="141" t="str">
        <f>IF(E180="","",IF(E180=0,0,'Dane finansowe'!E27/'Dane finansowe'!E23))</f>
        <v/>
      </c>
      <c r="F265" s="141" t="str">
        <f>IF(F180="","",IF(F180=0,0,'Dane finansowe'!F27/'Dane finansowe'!F23))</f>
        <v/>
      </c>
      <c r="G265" s="141" t="str">
        <f>IF(G180="","",IF(G180=0,0,'Dane finansowe'!G27/'Dane finansowe'!G23))</f>
        <v/>
      </c>
      <c r="I265" s="212" t="s">
        <v>15</v>
      </c>
      <c r="J265" s="213"/>
      <c r="K265" s="214"/>
    </row>
    <row r="266" spans="2:11" ht="15" customHeight="1">
      <c r="B266" s="4" t="s">
        <v>152</v>
      </c>
      <c r="C266" s="79" t="s">
        <v>21</v>
      </c>
      <c r="D266" s="30" t="s">
        <v>5</v>
      </c>
      <c r="E266" s="141">
        <f>IF('Dane finansowe'!E23=0,0,'Dane finansowe'!E35/'Dane finansowe'!E23)</f>
        <v>0</v>
      </c>
      <c r="F266" s="141">
        <f>IF('Dane finansowe'!F23=0,0,'Dane finansowe'!F35/'Dane finansowe'!F23)</f>
        <v>0</v>
      </c>
      <c r="G266" s="141">
        <f>IF('Dane finansowe'!G23=0,0,'Dane finansowe'!G35/'Dane finansowe'!G23)</f>
        <v>0</v>
      </c>
      <c r="I266" s="212" t="s">
        <v>16</v>
      </c>
      <c r="J266" s="213"/>
      <c r="K266" s="214"/>
    </row>
    <row r="267" spans="2:11" ht="15" customHeight="1">
      <c r="B267" s="4" t="s">
        <v>155</v>
      </c>
      <c r="C267" s="79" t="s">
        <v>22</v>
      </c>
      <c r="D267" s="30" t="s">
        <v>5</v>
      </c>
      <c r="E267" s="141">
        <f>IF('Dane finansowe'!E42=0,0,'Dane finansowe'!E23/'Dane finansowe'!E42)</f>
        <v>0</v>
      </c>
      <c r="F267" s="141">
        <f>IF('Dane finansowe'!F42=0,0,'Dane finansowe'!F23/'Dane finansowe'!F42)</f>
        <v>0</v>
      </c>
      <c r="G267" s="141">
        <f>IF('Dane finansowe'!G42=0,0,'Dane finansowe'!G23/'Dane finansowe'!G42)</f>
        <v>0</v>
      </c>
      <c r="I267" s="215"/>
      <c r="J267" s="216"/>
      <c r="K267" s="217"/>
    </row>
    <row r="268" spans="2:11" s="25" customFormat="1" ht="15" customHeight="1">
      <c r="B268" s="11" t="s">
        <v>166</v>
      </c>
      <c r="C268" s="77" t="s">
        <v>38</v>
      </c>
      <c r="D268" s="49" t="s">
        <v>5</v>
      </c>
      <c r="E268" s="142" t="str">
        <f>IF(E265="","brak danych",(1.5*E262)+(0.08*E263)+(10*E264)+(5*E265)+(0.3*E266)+(0.1*E267))</f>
        <v>brak danych</v>
      </c>
      <c r="F268" s="142" t="str">
        <f>IF(F265="","brak danych",(1.5*F262)+(0.08*F263)+(10*F264)+(5*F265)+(0.3*F266)+(0.1*F267))</f>
        <v>brak danych</v>
      </c>
      <c r="G268" s="142" t="str">
        <f>IF(G265="","brak danych",(1.5*G262)+(0.08*G263)+(10*G264)+(5*G265)+(0.3*G266)+(0.1*G267))</f>
        <v>brak danych</v>
      </c>
    </row>
    <row r="269" spans="2:11" ht="15" customHeight="1">
      <c r="B269" s="44"/>
      <c r="C269" s="10"/>
      <c r="E269" s="45"/>
      <c r="F269" s="45"/>
      <c r="G269" s="45"/>
    </row>
    <row r="270" spans="2:11" ht="15" hidden="1" customHeight="1"/>
    <row r="271" spans="2:11" ht="30" hidden="1" customHeight="1">
      <c r="B271" s="68" t="s">
        <v>190</v>
      </c>
      <c r="C271" s="70"/>
      <c r="D271" s="70"/>
      <c r="E271" s="70"/>
      <c r="F271" s="70"/>
      <c r="G271" s="71"/>
    </row>
    <row r="272" spans="2:11" ht="15" hidden="1" customHeight="1">
      <c r="B272" s="3" t="s">
        <v>142</v>
      </c>
      <c r="C272" s="3" t="s">
        <v>156</v>
      </c>
      <c r="D272" s="11" t="str">
        <f>D261</f>
        <v>Jedn./Lata</v>
      </c>
      <c r="E272" s="11">
        <f>IF('Dane finansowe'!$G$22="","",F272-1)</f>
        <v>2021</v>
      </c>
      <c r="F272" s="11">
        <f>IF('Dane finansowe'!$G$22="","",G272-1)</f>
        <v>2022</v>
      </c>
      <c r="G272" s="11">
        <f>IF('Dane finansowe'!$G$22="","",'Dane finansowe'!$G$22)</f>
        <v>2023</v>
      </c>
    </row>
    <row r="273" spans="2:7" ht="15" hidden="1" customHeight="1">
      <c r="B273" s="4" t="s">
        <v>148</v>
      </c>
      <c r="C273" s="76" t="s">
        <v>222</v>
      </c>
      <c r="D273" s="30" t="s">
        <v>5</v>
      </c>
      <c r="E273" s="150">
        <f>IF(E272="","",IF(E272=2017,E281,E282))</f>
        <v>7.1640000000000002E-3</v>
      </c>
      <c r="F273" s="144">
        <f>IF(F272="","",IF(F272=2018,E282,E283))</f>
        <v>6.4242999999999995E-2</v>
      </c>
      <c r="G273" s="144">
        <f>IF(G272="","",IF(G272=2019,E283,E284))</f>
        <v>6.5479999999999997E-2</v>
      </c>
    </row>
    <row r="274" spans="2:7" ht="15" hidden="1" customHeight="1">
      <c r="B274" s="4" t="s">
        <v>149</v>
      </c>
      <c r="C274" s="76" t="s">
        <v>189</v>
      </c>
      <c r="D274" s="30" t="s">
        <v>5</v>
      </c>
      <c r="E274" s="143">
        <v>0.03</v>
      </c>
      <c r="F274" s="143">
        <f>E274</f>
        <v>0.03</v>
      </c>
      <c r="G274" s="143">
        <f>F274</f>
        <v>0.03</v>
      </c>
    </row>
    <row r="275" spans="2:7" ht="15" hidden="1" customHeight="1">
      <c r="B275" s="4" t="s">
        <v>150</v>
      </c>
      <c r="C275" s="76" t="s">
        <v>241</v>
      </c>
      <c r="D275" s="30" t="s">
        <v>5</v>
      </c>
      <c r="E275" s="143">
        <f>SUM(E273:E274)</f>
        <v>3.7164000000000003E-2</v>
      </c>
      <c r="F275" s="143">
        <f t="shared" ref="F275:G275" si="8">SUM(F273:F274)</f>
        <v>9.4242999999999993E-2</v>
      </c>
      <c r="G275" s="143">
        <f t="shared" si="8"/>
        <v>9.5479999999999995E-2</v>
      </c>
    </row>
    <row r="276" spans="2:7" ht="15" hidden="1" customHeight="1">
      <c r="D276" s="1"/>
    </row>
    <row r="277" spans="2:7" ht="15" hidden="1" customHeight="1"/>
    <row r="278" spans="2:7" ht="15" hidden="1" customHeight="1">
      <c r="B278" s="286" t="s">
        <v>142</v>
      </c>
      <c r="C278" s="289" t="s">
        <v>222</v>
      </c>
      <c r="D278" s="285" t="s">
        <v>243</v>
      </c>
      <c r="E278" s="292" t="s">
        <v>242</v>
      </c>
      <c r="F278" s="285" t="s">
        <v>219</v>
      </c>
      <c r="G278" s="1"/>
    </row>
    <row r="279" spans="2:7" ht="15" hidden="1" customHeight="1">
      <c r="B279" s="287"/>
      <c r="C279" s="290"/>
      <c r="D279" s="285"/>
      <c r="E279" s="293"/>
      <c r="F279" s="285"/>
      <c r="G279" s="1"/>
    </row>
    <row r="280" spans="2:7" ht="15" hidden="1" customHeight="1">
      <c r="B280" s="288"/>
      <c r="C280" s="291"/>
      <c r="D280" s="285"/>
      <c r="E280" s="294"/>
      <c r="F280" s="285"/>
      <c r="G280" s="1"/>
    </row>
    <row r="281" spans="2:7" ht="15" hidden="1" customHeight="1">
      <c r="B281" s="4" t="s">
        <v>148</v>
      </c>
      <c r="C281" s="76" t="s">
        <v>244</v>
      </c>
      <c r="D281" s="30" t="s">
        <v>186</v>
      </c>
      <c r="E281" s="144">
        <v>7.1279999999999998E-3</v>
      </c>
      <c r="F281" s="145">
        <v>44196</v>
      </c>
      <c r="G281" s="1"/>
    </row>
    <row r="282" spans="2:7" ht="15" hidden="1" customHeight="1">
      <c r="B282" s="4" t="s">
        <v>149</v>
      </c>
      <c r="C282" s="76" t="s">
        <v>245</v>
      </c>
      <c r="D282" s="30" t="s">
        <v>186</v>
      </c>
      <c r="E282" s="144">
        <v>7.1640000000000002E-3</v>
      </c>
      <c r="F282" s="145">
        <v>44561</v>
      </c>
      <c r="G282" s="1"/>
    </row>
    <row r="283" spans="2:7" ht="15" hidden="1" customHeight="1">
      <c r="B283" s="4" t="s">
        <v>150</v>
      </c>
      <c r="C283" s="76" t="s">
        <v>251</v>
      </c>
      <c r="D283" s="30" t="s">
        <v>186</v>
      </c>
      <c r="E283" s="144">
        <v>6.4242999999999995E-2</v>
      </c>
      <c r="F283" s="145">
        <v>44926</v>
      </c>
      <c r="G283" s="1"/>
    </row>
    <row r="284" spans="2:7" ht="15" hidden="1" customHeight="1">
      <c r="B284" s="4" t="s">
        <v>151</v>
      </c>
      <c r="C284" s="76" t="s">
        <v>294</v>
      </c>
      <c r="D284" s="30" t="s">
        <v>186</v>
      </c>
      <c r="E284" s="144">
        <v>6.5479999999999997E-2</v>
      </c>
      <c r="F284" s="145">
        <v>45289</v>
      </c>
      <c r="G284" s="1"/>
    </row>
    <row r="285" spans="2:7" ht="15" hidden="1" customHeight="1">
      <c r="C285" s="51" t="s">
        <v>211</v>
      </c>
      <c r="D285" s="1"/>
    </row>
    <row r="286" spans="2:7" ht="15" hidden="1" customHeight="1"/>
    <row r="287" spans="2:7" ht="15" hidden="1" customHeight="1"/>
  </sheetData>
  <sheetProtection algorithmName="SHA-512" hashValue="pW6VnA/Rk+W67LnJY8Sh+EaxuGWs0NbzInGIeRVHK1iZ63lkcm/UcWNFLQXu8tMIpwSbRbWdSxsyF8UP0cFf9Q==" saltValue="diripdbO87Fr3iHk9JAdBw==" spinCount="100000" sheet="1" selectLockedCells="1" selectUnlockedCells="1"/>
  <protectedRanges>
    <protectedRange sqref="B6:F6 B4:F4" name="Zakres1_1"/>
  </protectedRanges>
  <mergeCells count="134">
    <mergeCell ref="D278:D280"/>
    <mergeCell ref="B278:B280"/>
    <mergeCell ref="C278:C280"/>
    <mergeCell ref="E278:E280"/>
    <mergeCell ref="F278:F280"/>
    <mergeCell ref="D65:G65"/>
    <mergeCell ref="B2:I2"/>
    <mergeCell ref="D3:G3"/>
    <mergeCell ref="B4:B7"/>
    <mergeCell ref="C4:C7"/>
    <mergeCell ref="D4:G4"/>
    <mergeCell ref="I4:I7"/>
    <mergeCell ref="D5:G5"/>
    <mergeCell ref="D6:G6"/>
    <mergeCell ref="D7:G7"/>
    <mergeCell ref="I8:I11"/>
    <mergeCell ref="D9:G9"/>
    <mergeCell ref="D10:G10"/>
    <mergeCell ref="D11:G11"/>
    <mergeCell ref="B12:B15"/>
    <mergeCell ref="C12:C15"/>
    <mergeCell ref="D12:G12"/>
    <mergeCell ref="I12:I15"/>
    <mergeCell ref="D13:G13"/>
    <mergeCell ref="D15:G15"/>
    <mergeCell ref="B8:B11"/>
    <mergeCell ref="C8:C11"/>
    <mergeCell ref="D8:G8"/>
    <mergeCell ref="I16:I18"/>
    <mergeCell ref="D17:G17"/>
    <mergeCell ref="D18:G18"/>
    <mergeCell ref="B19:B21"/>
    <mergeCell ref="C19:C21"/>
    <mergeCell ref="D19:G19"/>
    <mergeCell ref="I19:I21"/>
    <mergeCell ref="D20:G20"/>
    <mergeCell ref="D21:G21"/>
    <mergeCell ref="B16:B18"/>
    <mergeCell ref="C16:C18"/>
    <mergeCell ref="D16:G16"/>
    <mergeCell ref="D14:G14"/>
    <mergeCell ref="C27:C29"/>
    <mergeCell ref="D27:G27"/>
    <mergeCell ref="I27:I29"/>
    <mergeCell ref="D28:G28"/>
    <mergeCell ref="D29:G29"/>
    <mergeCell ref="D23:G23"/>
    <mergeCell ref="D24:G24"/>
    <mergeCell ref="B25:B26"/>
    <mergeCell ref="C25:C26"/>
    <mergeCell ref="D25:G25"/>
    <mergeCell ref="I25:I26"/>
    <mergeCell ref="B27:B29"/>
    <mergeCell ref="D26:G26"/>
    <mergeCell ref="B22:B24"/>
    <mergeCell ref="C22:C24"/>
    <mergeCell ref="D22:G22"/>
    <mergeCell ref="I22:I24"/>
    <mergeCell ref="B33:B35"/>
    <mergeCell ref="C33:C35"/>
    <mergeCell ref="D33:G33"/>
    <mergeCell ref="I33:I35"/>
    <mergeCell ref="D34:G34"/>
    <mergeCell ref="D35:G35"/>
    <mergeCell ref="B30:B32"/>
    <mergeCell ref="C30:C32"/>
    <mergeCell ref="D30:G30"/>
    <mergeCell ref="I30:I32"/>
    <mergeCell ref="D31:G31"/>
    <mergeCell ref="D32:G32"/>
    <mergeCell ref="B38:B40"/>
    <mergeCell ref="C38:C40"/>
    <mergeCell ref="D38:G38"/>
    <mergeCell ref="I38:I40"/>
    <mergeCell ref="D39:G39"/>
    <mergeCell ref="D40:G40"/>
    <mergeCell ref="B36:B37"/>
    <mergeCell ref="C36:C37"/>
    <mergeCell ref="D36:G36"/>
    <mergeCell ref="I36:I37"/>
    <mergeCell ref="D37:G37"/>
    <mergeCell ref="H57:I57"/>
    <mergeCell ref="H58:I58"/>
    <mergeCell ref="H59:I59"/>
    <mergeCell ref="H60:I60"/>
    <mergeCell ref="H61:I61"/>
    <mergeCell ref="H56:I56"/>
    <mergeCell ref="B41:G41"/>
    <mergeCell ref="B42:G42"/>
    <mergeCell ref="H42:I42"/>
    <mergeCell ref="B43:C43"/>
    <mergeCell ref="D43:I43"/>
    <mergeCell ref="D49:I49"/>
    <mergeCell ref="D50:I50"/>
    <mergeCell ref="D51:I51"/>
    <mergeCell ref="B45:I45"/>
    <mergeCell ref="D46:I46"/>
    <mergeCell ref="D47:I47"/>
    <mergeCell ref="D48:I48"/>
    <mergeCell ref="B44:C44"/>
    <mergeCell ref="D44:I44"/>
    <mergeCell ref="B55:I55"/>
    <mergeCell ref="H71:I71"/>
    <mergeCell ref="H66:I66"/>
    <mergeCell ref="H67:I67"/>
    <mergeCell ref="H68:I68"/>
    <mergeCell ref="H69:I69"/>
    <mergeCell ref="H70:I70"/>
    <mergeCell ref="H62:I62"/>
    <mergeCell ref="H63:I63"/>
    <mergeCell ref="H64:I64"/>
    <mergeCell ref="H65:I65"/>
    <mergeCell ref="I261:K261"/>
    <mergeCell ref="I264:K264"/>
    <mergeCell ref="I265:K265"/>
    <mergeCell ref="I266:K266"/>
    <mergeCell ref="I267:K267"/>
    <mergeCell ref="B231:C231"/>
    <mergeCell ref="B246:C246"/>
    <mergeCell ref="B260:C260"/>
    <mergeCell ref="B203:C203"/>
    <mergeCell ref="B217:C217"/>
    <mergeCell ref="I262:K262"/>
    <mergeCell ref="I263:K263"/>
    <mergeCell ref="B74:G74"/>
    <mergeCell ref="B72:D72"/>
    <mergeCell ref="B134:D134"/>
    <mergeCell ref="B149:D149"/>
    <mergeCell ref="B163:D163"/>
    <mergeCell ref="B178:D178"/>
    <mergeCell ref="B189:C189"/>
    <mergeCell ref="B91:D91"/>
    <mergeCell ref="B105:D105"/>
    <mergeCell ref="B120:D120"/>
  </mergeCells>
  <phoneticPr fontId="3" type="noConversion"/>
  <conditionalFormatting sqref="E37:G54 AG37:AN61 I38:I39 I41:I47 I49:I52 I54 E56:G61">
    <cfRule type="expression" dxfId="0" priority="3" stopIfTrue="1">
      <formula>"g10"</formula>
    </cfRule>
  </conditionalFormatting>
  <printOptions horizontalCentered="1"/>
  <pageMargins left="0.36" right="0.21" top="0.78740157480314965" bottom="0.78740157480314965" header="0.39370078740157483" footer="0.39370078740157483"/>
  <pageSetup paperSize="9" scale="58" fitToHeight="0" orientation="landscape" r:id="rId1"/>
  <headerFooter alignWithMargins="0">
    <oddHeader>&amp;LWyniki oceny finansowej Beneficjenta</oddHeader>
    <oddFooter>&amp;RData sporządzenia: &amp;D</oddFooter>
  </headerFooter>
  <rowBreaks count="1" manualBreakCount="1">
    <brk id="2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showGridLines="0" tabSelected="1" topLeftCell="A12" zoomScaleNormal="100" workbookViewId="0">
      <selection activeCell="A57" sqref="A57:XFD57"/>
    </sheetView>
  </sheetViews>
  <sheetFormatPr defaultColWidth="0" defaultRowHeight="12.75" zeroHeight="1"/>
  <cols>
    <col min="1" max="1" width="5.7109375" style="169" customWidth="1"/>
    <col min="2" max="2" width="50.7109375" style="169" customWidth="1"/>
    <col min="3" max="3" width="15.7109375" style="169" customWidth="1"/>
    <col min="4" max="4" width="25.7109375" style="169" customWidth="1"/>
    <col min="5" max="5" width="10.7109375" style="169" customWidth="1"/>
    <col min="6" max="9" width="10.7109375" style="169" hidden="1" customWidth="1"/>
    <col min="10" max="31" width="0" style="169" hidden="1" customWidth="1"/>
    <col min="32" max="16384" width="9.140625" style="169" hidden="1"/>
  </cols>
  <sheetData>
    <row r="1" spans="1:31" ht="15" customHeight="1">
      <c r="A1" s="83"/>
      <c r="B1" s="83"/>
      <c r="C1" s="83"/>
      <c r="D1" s="83"/>
      <c r="E1" s="83"/>
      <c r="F1" s="83"/>
      <c r="G1" s="83"/>
    </row>
    <row r="2" spans="1:31" ht="20.100000000000001" customHeight="1">
      <c r="A2" s="83"/>
      <c r="B2" s="302" t="s">
        <v>258</v>
      </c>
      <c r="C2" s="302"/>
      <c r="D2" s="302"/>
      <c r="E2" s="83"/>
      <c r="F2" s="83"/>
      <c r="G2" s="83"/>
    </row>
    <row r="3" spans="1:31" ht="15" customHeight="1">
      <c r="A3" s="83"/>
      <c r="B3" s="83"/>
      <c r="C3" s="83"/>
      <c r="D3" s="83"/>
      <c r="E3" s="83"/>
      <c r="F3" s="83"/>
      <c r="G3" s="83"/>
    </row>
    <row r="4" spans="1:31" ht="42" hidden="1" customHeight="1">
      <c r="A4" s="83"/>
      <c r="B4" s="301" t="s">
        <v>259</v>
      </c>
      <c r="C4" s="301"/>
      <c r="D4" s="301"/>
      <c r="E4" s="83"/>
      <c r="F4" s="83"/>
      <c r="G4" s="83"/>
    </row>
    <row r="5" spans="1:31" ht="15" hidden="1" customHeight="1">
      <c r="A5" s="83"/>
      <c r="B5" s="83"/>
      <c r="C5" s="83"/>
      <c r="D5" s="83"/>
      <c r="E5" s="83"/>
      <c r="F5" s="83"/>
      <c r="G5" s="83"/>
    </row>
    <row r="6" spans="1:31" ht="24.95" customHeight="1">
      <c r="A6" s="83"/>
      <c r="B6" s="168" t="s">
        <v>156</v>
      </c>
      <c r="C6" s="168" t="s">
        <v>268</v>
      </c>
      <c r="D6" s="168" t="s">
        <v>242</v>
      </c>
      <c r="E6" s="83"/>
      <c r="F6" s="83"/>
      <c r="G6" s="83"/>
    </row>
    <row r="7" spans="1:31" ht="15" customHeight="1">
      <c r="A7" s="83"/>
      <c r="B7" s="167" t="s">
        <v>260</v>
      </c>
      <c r="C7" s="109" t="s">
        <v>261</v>
      </c>
      <c r="D7" s="170">
        <f>'Dane finansowe'!G45</f>
        <v>0</v>
      </c>
      <c r="E7" s="83"/>
      <c r="F7" s="83"/>
      <c r="G7" s="83"/>
    </row>
    <row r="8" spans="1:31" ht="15" customHeight="1">
      <c r="A8" s="83"/>
      <c r="B8" s="167" t="s">
        <v>262</v>
      </c>
      <c r="C8" s="109" t="s">
        <v>263</v>
      </c>
      <c r="D8" s="170">
        <f>'Dane finansowe'!G46</f>
        <v>0</v>
      </c>
      <c r="E8" s="83"/>
      <c r="F8" s="83"/>
      <c r="G8" s="83"/>
    </row>
    <row r="9" spans="1:31" ht="15" customHeight="1">
      <c r="A9" s="83"/>
      <c r="B9" s="167" t="s">
        <v>264</v>
      </c>
      <c r="C9" s="109" t="s">
        <v>265</v>
      </c>
      <c r="D9" s="175">
        <v>5.6800000000000003E-2</v>
      </c>
      <c r="E9" s="83"/>
      <c r="F9" s="83"/>
      <c r="G9" s="83"/>
    </row>
    <row r="10" spans="1:31" ht="15" customHeight="1">
      <c r="A10" s="83"/>
      <c r="B10" s="167" t="s">
        <v>271</v>
      </c>
      <c r="C10" s="109"/>
      <c r="D10" s="109" t="str">
        <f>'Dane finansowe'!F11</f>
        <v>Zła/trudności finansowe</v>
      </c>
      <c r="E10" s="83"/>
      <c r="F10" s="83"/>
      <c r="G10" s="83"/>
    </row>
    <row r="11" spans="1:31" ht="15" customHeight="1">
      <c r="A11" s="83"/>
      <c r="B11" s="167" t="s">
        <v>266</v>
      </c>
      <c r="C11" s="109" t="s">
        <v>267</v>
      </c>
      <c r="D11" s="171">
        <f>VLOOKUP(D10,D24:E28,2,0)</f>
        <v>0.04</v>
      </c>
      <c r="E11" s="83"/>
      <c r="F11" s="83"/>
      <c r="G11" s="83"/>
    </row>
    <row r="12" spans="1:31" ht="15" customHeight="1">
      <c r="A12" s="83"/>
      <c r="B12" s="167" t="s">
        <v>269</v>
      </c>
      <c r="C12" s="109" t="s">
        <v>270</v>
      </c>
      <c r="D12" s="171">
        <f>D9+D11</f>
        <v>9.6799999999999997E-2</v>
      </c>
      <c r="E12" s="83"/>
      <c r="F12" s="83"/>
      <c r="G12" s="83"/>
    </row>
    <row r="13" spans="1:31" ht="15" customHeight="1">
      <c r="A13" s="83"/>
      <c r="B13" s="167" t="s">
        <v>274</v>
      </c>
      <c r="C13" s="109" t="s">
        <v>275</v>
      </c>
      <c r="D13" s="172">
        <v>0.4</v>
      </c>
      <c r="E13" s="83"/>
      <c r="F13" s="83"/>
      <c r="G13" s="83"/>
    </row>
    <row r="14" spans="1:31" ht="15" customHeight="1">
      <c r="A14" s="83"/>
      <c r="B14" s="167" t="s">
        <v>272</v>
      </c>
      <c r="C14" s="109" t="s">
        <v>273</v>
      </c>
      <c r="D14" s="173" t="str">
        <f>IFERROR(D13*(1+(1-D16)*D8/D7),"")</f>
        <v/>
      </c>
      <c r="E14" s="83"/>
      <c r="F14" s="83"/>
      <c r="G14" s="83"/>
    </row>
    <row r="15" spans="1:31" ht="15" customHeight="1">
      <c r="A15" s="83"/>
      <c r="B15" s="167" t="s">
        <v>289</v>
      </c>
      <c r="C15" s="109" t="s">
        <v>290</v>
      </c>
      <c r="D15" s="171">
        <v>0.05</v>
      </c>
      <c r="E15" s="83"/>
      <c r="F15" s="83"/>
      <c r="G15" s="83"/>
    </row>
    <row r="16" spans="1:31" ht="15" customHeight="1">
      <c r="A16" s="83"/>
      <c r="B16" s="167" t="s">
        <v>276</v>
      </c>
      <c r="C16" s="109" t="s">
        <v>277</v>
      </c>
      <c r="D16" s="171">
        <v>0.19</v>
      </c>
      <c r="E16" s="83"/>
      <c r="F16" s="83"/>
      <c r="G16" s="83"/>
      <c r="W16" s="169">
        <v>17</v>
      </c>
      <c r="X16" s="169">
        <v>18</v>
      </c>
      <c r="Y16" s="169">
        <v>19</v>
      </c>
      <c r="Z16" s="169">
        <v>20</v>
      </c>
      <c r="AA16" s="169">
        <v>21</v>
      </c>
      <c r="AB16" s="169">
        <v>22</v>
      </c>
      <c r="AC16" s="169">
        <v>23</v>
      </c>
      <c r="AD16" s="169">
        <v>24</v>
      </c>
      <c r="AE16" s="169">
        <v>25</v>
      </c>
    </row>
    <row r="17" spans="1:31" ht="15" customHeight="1">
      <c r="A17" s="83"/>
      <c r="B17" s="167" t="s">
        <v>302</v>
      </c>
      <c r="C17" s="109" t="s">
        <v>278</v>
      </c>
      <c r="D17" s="171">
        <f>C23</f>
        <v>2.9200000000000011E-2</v>
      </c>
      <c r="E17" s="83"/>
      <c r="F17" s="83"/>
      <c r="G17" s="83"/>
      <c r="W17" s="169">
        <v>2.5</v>
      </c>
      <c r="X17" s="169">
        <v>2.5</v>
      </c>
      <c r="Y17" s="169">
        <v>2.5</v>
      </c>
      <c r="Z17" s="169">
        <v>2.5</v>
      </c>
      <c r="AA17" s="169">
        <v>2.5</v>
      </c>
      <c r="AB17" s="169">
        <v>2.5</v>
      </c>
      <c r="AC17" s="169">
        <v>2.5</v>
      </c>
      <c r="AD17" s="169">
        <v>2.5</v>
      </c>
      <c r="AE17" s="169">
        <v>2.5</v>
      </c>
    </row>
    <row r="18" spans="1:31" ht="15" customHeight="1">
      <c r="A18" s="83"/>
      <c r="B18" s="167" t="s">
        <v>285</v>
      </c>
      <c r="C18" s="109" t="s">
        <v>286</v>
      </c>
      <c r="D18" s="171" t="str">
        <f>IFERROR(D9+D14*D15,"")</f>
        <v/>
      </c>
      <c r="E18" s="83"/>
      <c r="F18" s="83"/>
      <c r="G18" s="83"/>
    </row>
    <row r="19" spans="1:31" ht="15" customHeight="1">
      <c r="A19" s="83"/>
      <c r="B19" s="167" t="s">
        <v>279</v>
      </c>
      <c r="C19" s="109" t="s">
        <v>291</v>
      </c>
      <c r="D19" s="174" t="str">
        <f>IFERROR(D12*D8/(D7+D8)+D18/(1-D16)*D7/(D7+D8),"")</f>
        <v/>
      </c>
      <c r="E19" s="83"/>
      <c r="F19" s="83"/>
      <c r="G19" s="83"/>
    </row>
    <row r="20" spans="1:31" ht="15" customHeight="1">
      <c r="A20" s="83"/>
      <c r="B20" s="167" t="s">
        <v>280</v>
      </c>
      <c r="C20" s="109" t="s">
        <v>292</v>
      </c>
      <c r="D20" s="174" t="str">
        <f>IFERROR((1+D19)/(1+D17)-1,"")</f>
        <v/>
      </c>
      <c r="E20" s="83"/>
      <c r="F20" s="83"/>
      <c r="G20" s="83"/>
    </row>
    <row r="21" spans="1:31" ht="15.75" customHeight="1">
      <c r="A21" s="83"/>
      <c r="B21" s="83"/>
      <c r="C21" s="83"/>
      <c r="D21" s="83"/>
      <c r="E21" s="83"/>
      <c r="F21" s="83"/>
      <c r="G21" s="83"/>
    </row>
    <row r="22" spans="1:31" ht="15" hidden="1" customHeight="1">
      <c r="A22" s="83"/>
      <c r="B22" s="83"/>
      <c r="C22" s="83" t="s">
        <v>288</v>
      </c>
      <c r="D22" s="83"/>
      <c r="E22" s="83"/>
      <c r="F22" s="83"/>
      <c r="G22" s="83"/>
    </row>
    <row r="23" spans="1:31" ht="15" hidden="1" customHeight="1">
      <c r="A23" s="83"/>
      <c r="B23" s="83"/>
      <c r="C23" s="83">
        <f>AVERAGE(C25:C39)</f>
        <v>2.9200000000000011E-2</v>
      </c>
      <c r="D23" s="83"/>
      <c r="E23" s="83"/>
      <c r="F23" s="83"/>
      <c r="G23" s="83"/>
    </row>
    <row r="24" spans="1:31" ht="15" hidden="1" customHeight="1">
      <c r="A24" s="83"/>
      <c r="B24" s="83" t="s">
        <v>287</v>
      </c>
      <c r="C24" s="83"/>
      <c r="D24" s="83" t="s">
        <v>281</v>
      </c>
      <c r="E24" s="83">
        <v>6.0000000000000001E-3</v>
      </c>
      <c r="F24" s="83"/>
      <c r="G24" s="83"/>
    </row>
    <row r="25" spans="1:31" ht="15" hidden="1" customHeight="1">
      <c r="A25" s="83"/>
      <c r="B25" s="83">
        <v>2024</v>
      </c>
      <c r="C25" s="83">
        <v>6.6000000000000003E-2</v>
      </c>
      <c r="D25" s="83" t="s">
        <v>282</v>
      </c>
      <c r="E25" s="83">
        <v>7.4999999999999997E-3</v>
      </c>
      <c r="F25" s="83"/>
      <c r="G25" s="83"/>
    </row>
    <row r="26" spans="1:31" ht="15" hidden="1" customHeight="1">
      <c r="A26" s="83"/>
      <c r="B26" s="83">
        <v>2025</v>
      </c>
      <c r="C26" s="83">
        <v>4.1000000000000002E-2</v>
      </c>
      <c r="D26" s="83" t="s">
        <v>293</v>
      </c>
      <c r="E26" s="83">
        <v>0.01</v>
      </c>
      <c r="F26" s="83"/>
      <c r="G26" s="83"/>
    </row>
    <row r="27" spans="1:31" ht="15" hidden="1" customHeight="1">
      <c r="A27" s="83"/>
      <c r="B27" s="83">
        <v>2026</v>
      </c>
      <c r="C27" s="83">
        <v>3.1E-2</v>
      </c>
      <c r="D27" s="83" t="s">
        <v>283</v>
      </c>
      <c r="E27" s="83">
        <v>2.1999999999999999E-2</v>
      </c>
      <c r="F27" s="83"/>
      <c r="G27" s="83"/>
    </row>
    <row r="28" spans="1:31" ht="15" hidden="1" customHeight="1">
      <c r="A28" s="83"/>
      <c r="B28" s="83">
        <v>2027</v>
      </c>
      <c r="C28" s="83">
        <v>2.5000000000000001E-2</v>
      </c>
      <c r="D28" s="83" t="s">
        <v>284</v>
      </c>
      <c r="E28" s="83">
        <v>0.04</v>
      </c>
      <c r="F28" s="83"/>
      <c r="G28" s="83"/>
    </row>
    <row r="29" spans="1:31" ht="15" hidden="1" customHeight="1">
      <c r="A29" s="83"/>
      <c r="B29" s="83">
        <v>2028</v>
      </c>
      <c r="C29" s="83">
        <v>2.5000000000000001E-2</v>
      </c>
      <c r="D29" s="83"/>
      <c r="E29" s="83"/>
      <c r="F29" s="83"/>
      <c r="G29" s="83"/>
    </row>
    <row r="30" spans="1:31" ht="15" hidden="1" customHeight="1">
      <c r="A30" s="83"/>
      <c r="B30" s="83">
        <v>2029</v>
      </c>
      <c r="C30" s="83">
        <v>2.5000000000000001E-2</v>
      </c>
      <c r="D30" s="83"/>
      <c r="E30" s="83"/>
      <c r="F30" s="83"/>
      <c r="G30" s="83"/>
    </row>
    <row r="31" spans="1:31" ht="15" hidden="1" customHeight="1">
      <c r="A31" s="83"/>
      <c r="B31" s="83">
        <v>2030</v>
      </c>
      <c r="C31" s="83">
        <v>2.5000000000000001E-2</v>
      </c>
      <c r="D31" s="83"/>
      <c r="E31" s="83"/>
      <c r="F31" s="83"/>
      <c r="G31" s="83"/>
    </row>
    <row r="32" spans="1:31" ht="15" hidden="1" customHeight="1">
      <c r="A32" s="83"/>
      <c r="B32" s="83">
        <v>2031</v>
      </c>
      <c r="C32" s="83">
        <v>2.5000000000000001E-2</v>
      </c>
      <c r="D32" s="83"/>
      <c r="E32" s="83"/>
      <c r="F32" s="83"/>
      <c r="G32" s="83"/>
    </row>
    <row r="33" spans="1:7" ht="15" hidden="1" customHeight="1">
      <c r="A33" s="83"/>
      <c r="B33" s="83">
        <v>2032</v>
      </c>
      <c r="C33" s="83">
        <v>2.5000000000000001E-2</v>
      </c>
      <c r="D33" s="83"/>
      <c r="E33" s="83"/>
      <c r="F33" s="83"/>
      <c r="G33" s="83"/>
    </row>
    <row r="34" spans="1:7" ht="15" hidden="1" customHeight="1">
      <c r="A34" s="83"/>
      <c r="B34" s="83">
        <v>2033</v>
      </c>
      <c r="C34" s="83">
        <v>2.5000000000000001E-2</v>
      </c>
      <c r="D34" s="83"/>
      <c r="E34" s="83"/>
      <c r="F34" s="83"/>
      <c r="G34" s="83"/>
    </row>
    <row r="35" spans="1:7" ht="15" hidden="1" customHeight="1">
      <c r="A35" s="83"/>
      <c r="B35" s="83">
        <v>2034</v>
      </c>
      <c r="C35" s="83">
        <v>2.5000000000000001E-2</v>
      </c>
      <c r="D35" s="83"/>
      <c r="E35" s="83"/>
      <c r="F35" s="83"/>
      <c r="G35" s="83"/>
    </row>
    <row r="36" spans="1:7" ht="15" hidden="1" customHeight="1">
      <c r="A36" s="83"/>
      <c r="B36" s="83">
        <v>2035</v>
      </c>
      <c r="C36" s="83">
        <v>2.5000000000000001E-2</v>
      </c>
      <c r="D36" s="83"/>
      <c r="E36" s="83"/>
      <c r="F36" s="83"/>
      <c r="G36" s="83"/>
    </row>
    <row r="37" spans="1:7" ht="15" hidden="1" customHeight="1">
      <c r="A37" s="83"/>
      <c r="B37" s="83">
        <v>2036</v>
      </c>
      <c r="C37" s="83">
        <v>2.5000000000000001E-2</v>
      </c>
      <c r="D37" s="83"/>
      <c r="E37" s="83"/>
      <c r="F37" s="83"/>
      <c r="G37" s="83"/>
    </row>
    <row r="38" spans="1:7" ht="15" hidden="1" customHeight="1">
      <c r="A38" s="83"/>
      <c r="B38" s="83">
        <v>2037</v>
      </c>
      <c r="C38" s="83">
        <v>2.5000000000000001E-2</v>
      </c>
      <c r="D38" s="83"/>
      <c r="E38" s="83"/>
      <c r="F38" s="83"/>
      <c r="G38" s="83"/>
    </row>
    <row r="39" spans="1:7" ht="15" hidden="1" customHeight="1">
      <c r="A39" s="83"/>
      <c r="B39" s="83">
        <v>2038</v>
      </c>
      <c r="C39" s="83">
        <v>2.5000000000000001E-2</v>
      </c>
      <c r="D39" s="83"/>
      <c r="E39" s="83"/>
      <c r="F39" s="83"/>
      <c r="G39" s="83"/>
    </row>
    <row r="40" spans="1:7" ht="15" hidden="1" customHeight="1">
      <c r="A40" s="83"/>
      <c r="B40" s="83">
        <v>2039</v>
      </c>
      <c r="C40" s="83">
        <v>2.5000000000000001E-2</v>
      </c>
      <c r="D40" s="83"/>
      <c r="E40" s="83"/>
      <c r="F40" s="83"/>
      <c r="G40" s="83"/>
    </row>
    <row r="41" spans="1:7" ht="15" hidden="1" customHeight="1">
      <c r="A41" s="83"/>
      <c r="B41" s="83">
        <v>2040</v>
      </c>
      <c r="C41" s="83">
        <v>2.5000000000000001E-2</v>
      </c>
      <c r="D41" s="83"/>
      <c r="E41" s="83"/>
      <c r="F41" s="83"/>
      <c r="G41" s="83"/>
    </row>
    <row r="42" spans="1:7" ht="15" hidden="1" customHeight="1">
      <c r="A42" s="83"/>
      <c r="B42" s="83">
        <v>2041</v>
      </c>
      <c r="C42" s="83">
        <v>2.5000000000000001E-2</v>
      </c>
      <c r="D42" s="83"/>
      <c r="E42" s="83"/>
      <c r="F42" s="83"/>
      <c r="G42" s="83"/>
    </row>
    <row r="43" spans="1:7" ht="15" hidden="1" customHeight="1">
      <c r="A43" s="83"/>
      <c r="B43" s="83">
        <v>2042</v>
      </c>
      <c r="C43" s="83">
        <v>2.5000000000000001E-2</v>
      </c>
      <c r="D43" s="83"/>
      <c r="E43" s="83"/>
      <c r="F43" s="83"/>
      <c r="G43" s="83"/>
    </row>
    <row r="44" spans="1:7" ht="15" hidden="1" customHeight="1">
      <c r="A44" s="83"/>
      <c r="B44" s="83">
        <v>2043</v>
      </c>
      <c r="C44" s="83">
        <v>2.5000000000000001E-2</v>
      </c>
      <c r="D44" s="83"/>
      <c r="E44" s="83"/>
      <c r="F44" s="83"/>
      <c r="G44" s="83"/>
    </row>
    <row r="45" spans="1:7" ht="15" hidden="1" customHeight="1">
      <c r="A45" s="83"/>
      <c r="B45" s="83">
        <v>2044</v>
      </c>
      <c r="C45" s="83">
        <v>2.5000000000000001E-2</v>
      </c>
      <c r="D45" s="83"/>
      <c r="E45" s="83"/>
      <c r="F45" s="83"/>
      <c r="G45" s="83"/>
    </row>
    <row r="46" spans="1:7" ht="15" hidden="1" customHeight="1">
      <c r="A46" s="83"/>
      <c r="B46" s="83">
        <v>2045</v>
      </c>
      <c r="C46" s="83">
        <v>2.5000000000000001E-2</v>
      </c>
      <c r="D46" s="83"/>
      <c r="E46" s="83"/>
      <c r="F46" s="83"/>
      <c r="G46" s="83"/>
    </row>
    <row r="47" spans="1:7" ht="15" hidden="1" customHeight="1">
      <c r="A47" s="83"/>
      <c r="B47" s="83">
        <v>2046</v>
      </c>
      <c r="C47" s="83">
        <v>2.5000000000000001E-2</v>
      </c>
      <c r="D47" s="83"/>
      <c r="E47" s="83"/>
      <c r="F47" s="83"/>
      <c r="G47" s="83"/>
    </row>
    <row r="48" spans="1:7" ht="15" hidden="1" customHeight="1">
      <c r="A48" s="83"/>
      <c r="B48" s="83">
        <v>2047</v>
      </c>
      <c r="C48" s="83">
        <v>2.5000000000000001E-2</v>
      </c>
      <c r="D48" s="83"/>
      <c r="E48" s="83"/>
      <c r="F48" s="83"/>
      <c r="G48" s="83"/>
    </row>
    <row r="49" spans="1:7" ht="15" hidden="1" customHeight="1">
      <c r="A49" s="83"/>
      <c r="B49" s="83">
        <v>2048</v>
      </c>
      <c r="C49" s="83">
        <v>2.5000000000000001E-2</v>
      </c>
      <c r="D49" s="83"/>
      <c r="E49" s="83"/>
      <c r="F49" s="83"/>
      <c r="G49" s="83"/>
    </row>
    <row r="50" spans="1:7" ht="5.25" customHeight="1">
      <c r="A50" s="83"/>
      <c r="B50" s="176"/>
      <c r="C50" s="176"/>
      <c r="D50" s="176"/>
      <c r="E50" s="83"/>
      <c r="F50" s="83"/>
      <c r="G50" s="83"/>
    </row>
    <row r="51" spans="1:7" ht="15" customHeight="1">
      <c r="A51" s="83"/>
      <c r="B51" s="300" t="s">
        <v>295</v>
      </c>
      <c r="C51" s="300"/>
      <c r="D51" s="300"/>
      <c r="E51" s="83"/>
      <c r="F51" s="83"/>
      <c r="G51" s="83"/>
    </row>
    <row r="52" spans="1:7" ht="39" customHeight="1">
      <c r="A52" s="83"/>
      <c r="B52" s="176"/>
      <c r="C52" s="176"/>
      <c r="D52" s="176"/>
      <c r="E52" s="83"/>
      <c r="F52" s="83"/>
      <c r="G52" s="83"/>
    </row>
    <row r="53" spans="1:7" ht="111.75" customHeight="1">
      <c r="A53" s="83"/>
      <c r="B53" s="303" t="s">
        <v>296</v>
      </c>
      <c r="C53" s="303"/>
      <c r="D53" s="303"/>
      <c r="E53" s="83"/>
      <c r="F53" s="83"/>
      <c r="G53" s="83"/>
    </row>
    <row r="54" spans="1:7" s="178" customFormat="1" ht="23.25" customHeight="1">
      <c r="A54" s="177"/>
      <c r="B54" s="179"/>
      <c r="C54" s="179"/>
      <c r="D54" s="179"/>
      <c r="E54" s="177"/>
      <c r="F54" s="177"/>
      <c r="G54" s="177"/>
    </row>
    <row r="55" spans="1:7" ht="57.75" customHeight="1">
      <c r="A55" s="83"/>
      <c r="B55" s="298" t="s">
        <v>297</v>
      </c>
      <c r="C55" s="298"/>
      <c r="D55" s="298"/>
      <c r="E55" s="83"/>
      <c r="F55" s="83"/>
      <c r="G55" s="83"/>
    </row>
    <row r="56" spans="1:7" ht="23.25" customHeight="1">
      <c r="A56" s="83"/>
      <c r="B56"/>
      <c r="C56" s="176"/>
      <c r="D56" s="176"/>
      <c r="E56" s="83"/>
      <c r="F56" s="83"/>
      <c r="G56" s="83"/>
    </row>
    <row r="57" spans="1:7" ht="59.25" customHeight="1">
      <c r="A57" s="83"/>
      <c r="B57" s="298" t="s">
        <v>298</v>
      </c>
      <c r="C57" s="299"/>
      <c r="D57" s="299"/>
      <c r="E57" s="83"/>
      <c r="F57" s="83"/>
      <c r="G57" s="83"/>
    </row>
    <row r="58" spans="1:7" ht="36.75" customHeight="1">
      <c r="A58" s="83"/>
      <c r="B58"/>
      <c r="C58" s="176"/>
      <c r="D58" s="176"/>
      <c r="E58" s="83"/>
      <c r="F58" s="83"/>
      <c r="G58" s="83"/>
    </row>
    <row r="59" spans="1:7" ht="91.5" customHeight="1">
      <c r="A59" s="83"/>
      <c r="B59" s="298" t="s">
        <v>299</v>
      </c>
      <c r="C59" s="299"/>
      <c r="D59" s="299"/>
      <c r="E59" s="83"/>
      <c r="F59" s="83"/>
      <c r="G59" s="83"/>
    </row>
    <row r="60" spans="1:7" ht="20.25" customHeight="1">
      <c r="A60" s="83"/>
      <c r="B60" s="180" t="s">
        <v>300</v>
      </c>
      <c r="C60" s="181"/>
      <c r="D60" s="181"/>
      <c r="E60" s="83"/>
      <c r="F60" s="83"/>
      <c r="G60" s="83"/>
    </row>
    <row r="61" spans="1:7" ht="30.75" customHeight="1">
      <c r="A61" s="83"/>
      <c r="B61"/>
      <c r="C61" s="181"/>
      <c r="D61" s="181"/>
      <c r="E61" s="83"/>
      <c r="F61" s="83"/>
      <c r="G61" s="83"/>
    </row>
    <row r="62" spans="1:7" ht="69" customHeight="1">
      <c r="A62" s="83"/>
      <c r="B62" s="298" t="s">
        <v>301</v>
      </c>
      <c r="C62" s="298"/>
      <c r="D62" s="298"/>
      <c r="E62" s="83"/>
      <c r="F62" s="83"/>
      <c r="G62" s="83"/>
    </row>
    <row r="63" spans="1:7" ht="8.25" customHeight="1">
      <c r="A63" s="83"/>
      <c r="B63" s="300"/>
      <c r="C63" s="300"/>
      <c r="D63" s="300"/>
      <c r="E63" s="83"/>
      <c r="F63" s="83"/>
      <c r="G63" s="83"/>
    </row>
    <row r="64" spans="1:7" ht="15" customHeight="1">
      <c r="A64" s="83"/>
      <c r="B64" s="83"/>
      <c r="C64" s="83"/>
      <c r="D64" s="83"/>
      <c r="E64" s="83"/>
      <c r="F64" s="83"/>
      <c r="G64" s="83"/>
    </row>
    <row r="65" spans="1:5" ht="1.5" customHeight="1">
      <c r="A65" s="182"/>
      <c r="B65" s="182"/>
      <c r="C65" s="182"/>
      <c r="D65" s="182"/>
      <c r="E65" s="182"/>
    </row>
    <row r="66" spans="1:5" ht="1.5" customHeight="1">
      <c r="A66" s="182"/>
      <c r="B66" s="182"/>
      <c r="C66" s="182"/>
      <c r="D66" s="182"/>
      <c r="E66" s="182"/>
    </row>
  </sheetData>
  <sheetProtection password="C665" sheet="1" objects="1" scenarios="1"/>
  <mergeCells count="9">
    <mergeCell ref="B59:D59"/>
    <mergeCell ref="B63:D63"/>
    <mergeCell ref="B62:D62"/>
    <mergeCell ref="B4:D4"/>
    <mergeCell ref="B2:D2"/>
    <mergeCell ref="B51:D51"/>
    <mergeCell ref="B53:D53"/>
    <mergeCell ref="B55:D55"/>
    <mergeCell ref="B57:D57"/>
  </mergeCells>
  <pageMargins left="0.7" right="0.7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Instrukcja</vt:lpstr>
      <vt:lpstr>Dane finansowe</vt:lpstr>
      <vt:lpstr>Wyniki</vt:lpstr>
      <vt:lpstr>WACC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ratingu</dc:title>
  <dc:creator>NF</dc:creator>
  <dc:description>Wersja z 18-02-2020 r.</dc:description>
  <cp:lastModifiedBy>Ruciński Piotr</cp:lastModifiedBy>
  <cp:lastPrinted>2023-12-01T08:24:17Z</cp:lastPrinted>
  <dcterms:created xsi:type="dcterms:W3CDTF">2009-08-21T08:15:19Z</dcterms:created>
  <dcterms:modified xsi:type="dcterms:W3CDTF">2024-04-03T06:10:04Z</dcterms:modified>
</cp:coreProperties>
</file>