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<sst xmlns="http://schemas.openxmlformats.org/spreadsheetml/2006/main" count="95" uniqueCount="78">
  <si>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</si>
  <si>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</si>
  <si>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</si>
  <si>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</si>
  <si>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</si>
  <si>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</si>
  <si>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</si>
  <si>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</si>
  <si>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</si>
  <si>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</si>
  <si>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</si>
  <si>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</si>
  <si>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</si>
  <si>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</si>
  <si>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</si>
  <si>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</si>
  <si>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</si>
  <si>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</si>
  <si>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</si>
  <si>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</si>
  <si>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</si>
  <si>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</si>
  <si>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</si>
  <si>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</si>
  <si>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</si>
  <si>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</si>
  <si>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</si>
  <si>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</si>
  <si>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</si>
  <si>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</si>
  <si>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</si>
  <si>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</si>
  <si>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</si>
  <si>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</si>
  <si>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</si>
  <si>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</si>
  <si>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</si>
  <si>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</si>
  <si>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</si>
  <si>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</si>
  <si>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</si>
  <si>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</si>
  <si>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</si>
  <si>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</si>
  <si>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</si>
  <si>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</si>
  <si>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</si>
  <si>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</si>
  <si>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</si>
  <si>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</si>
  <si>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</si>
  <si>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</si>
  <si>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</si>
  <si>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</si>
  <si>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</si>
  <si>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</si>
  <si>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</si>
  <si>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</si>
  <si>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</si>
  <si>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</si>
  <si>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</si>
  <si>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</si>
  <si>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</si>
  <si>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</si>
  <si>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</si>
  <si>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</si>
  <si>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</si>
  <si>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</si>
  <si>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</si>
  <si>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</si>
  <si>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</si>
  <si>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</si>
  <si>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</si>
  <si>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</si>
  <si>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</si>
  <si>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</si>
  <si>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</si>
  <si>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IV Kwartały 2020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</si>
</sst>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89845109866.69</f>
        <v>89845109866.69</v>
      </c>
      <c r="C13" s="20">
        <f>67674301913.32</f>
        <v>67674301913.32</v>
      </c>
      <c r="D13" s="20">
        <f>3774574440.1</f>
        <v>3774574440.1</v>
      </c>
      <c r="E13" s="20">
        <f>771757496.9</f>
        <v>771757496.9</v>
      </c>
      <c r="F13" s="20">
        <f>590957649.73</f>
        <v>590957649.73</v>
      </c>
      <c r="G13" s="20">
        <f>2410159395.78</f>
        <v>2410159395.78</v>
      </c>
      <c r="H13" s="20">
        <f>1699897.69</f>
        <v>1699897.69</v>
      </c>
      <c r="I13" s="20">
        <f>0</f>
        <v>0</v>
      </c>
      <c r="J13" s="20">
        <f>60149638003.63</f>
        <v>60149638003.63</v>
      </c>
      <c r="K13" s="20">
        <f>1724314386.37</f>
        <v>1724314386.37</v>
      </c>
      <c r="L13" s="20">
        <f>1976382521.24</f>
        <v>1976382521.24</v>
      </c>
      <c r="M13" s="20">
        <f>34022428.01</f>
        <v>34022428.01</v>
      </c>
      <c r="N13" s="20">
        <f>15370133.97</f>
        <v>15370133.97</v>
      </c>
      <c r="O13" s="20">
        <f>22170807953.37</f>
        <v>22170807953.37</v>
      </c>
      <c r="P13" s="20">
        <f>22170807110.61</f>
        <v>22170807110.61</v>
      </c>
      <c r="Q13" s="20">
        <f>842.76</f>
        <v>842.76</v>
      </c>
    </row>
    <row r="14" spans="1:17" ht="41.25" customHeight="1">
      <c r="A14" s="18" t="s">
        <v>73</v>
      </c>
      <c r="B14" s="20">
        <f>3596772000</f>
        <v>3596772000</v>
      </c>
      <c r="C14" s="20">
        <f>3596772000</f>
        <v>3596772000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3516550000</f>
        <v>3516550000</v>
      </c>
      <c r="K14" s="20">
        <f>78982000</f>
        <v>78982000</v>
      </c>
      <c r="L14" s="20">
        <f>1240000</f>
        <v>1240000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3596772000</f>
        <v>3596772000</v>
      </c>
      <c r="C16" s="21">
        <f>3596772000</f>
        <v>3596772000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3516550000</f>
        <v>3516550000</v>
      </c>
      <c r="K16" s="21">
        <f>78982000</f>
        <v>78982000</v>
      </c>
      <c r="L16" s="21">
        <f>1240000</f>
        <v>1240000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86189682544.83</f>
        <v>86189682544.83</v>
      </c>
      <c r="C17" s="20">
        <f>64018883033.88</f>
        <v>64018883033.88</v>
      </c>
      <c r="D17" s="20">
        <f>3757505861.19</f>
        <v>3757505861.19</v>
      </c>
      <c r="E17" s="20">
        <f>769337847.65</f>
        <v>769337847.65</v>
      </c>
      <c r="F17" s="20">
        <f>588784404.62</f>
        <v>588784404.62</v>
      </c>
      <c r="G17" s="20">
        <f>2398985585.69</f>
        <v>2398985585.69</v>
      </c>
      <c r="H17" s="20">
        <f>398023.23</f>
        <v>398023.23</v>
      </c>
      <c r="I17" s="20">
        <f>0</f>
        <v>0</v>
      </c>
      <c r="J17" s="20">
        <f>56632778603.5</f>
        <v>56632778603.5</v>
      </c>
      <c r="K17" s="20">
        <f>1643519952.06</f>
        <v>1643519952.06</v>
      </c>
      <c r="L17" s="20">
        <f>1960665392.57</f>
        <v>1960665392.57</v>
      </c>
      <c r="M17" s="20">
        <f>15307560.39</f>
        <v>15307560.39</v>
      </c>
      <c r="N17" s="20">
        <f>9105664.17</f>
        <v>9105664.17</v>
      </c>
      <c r="O17" s="20">
        <f>22170799510.95</f>
        <v>22170799510.95</v>
      </c>
      <c r="P17" s="20">
        <f>22170799510.95</f>
        <v>22170799510.95</v>
      </c>
      <c r="Q17" s="20">
        <f>0</f>
        <v>0</v>
      </c>
    </row>
    <row r="18" spans="1:17" ht="22.5">
      <c r="A18" s="15" t="s">
        <v>46</v>
      </c>
      <c r="B18" s="21">
        <f>124040321.92</f>
        <v>124040321.92</v>
      </c>
      <c r="C18" s="21">
        <f>124040321.92</f>
        <v>124040321.92</v>
      </c>
      <c r="D18" s="21">
        <f>23967850.98</f>
        <v>23967850.98</v>
      </c>
      <c r="E18" s="21">
        <f>17029333.77</f>
        <v>17029333.77</v>
      </c>
      <c r="F18" s="21">
        <f>517192.85</f>
        <v>517192.85</v>
      </c>
      <c r="G18" s="21">
        <f>6421324.36</f>
        <v>6421324.36</v>
      </c>
      <c r="H18" s="21">
        <f>0</f>
        <v>0</v>
      </c>
      <c r="I18" s="21">
        <f>0</f>
        <v>0</v>
      </c>
      <c r="J18" s="21">
        <f>95629039.57</f>
        <v>95629039.57</v>
      </c>
      <c r="K18" s="21">
        <f>329702.3</f>
        <v>329702.3</v>
      </c>
      <c r="L18" s="21">
        <f>3296818.47</f>
        <v>3296818.47</v>
      </c>
      <c r="M18" s="21">
        <f>390440</f>
        <v>390440</v>
      </c>
      <c r="N18" s="21">
        <f>426470.6</f>
        <v>426470.6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86065642222.91</f>
        <v>86065642222.91</v>
      </c>
      <c r="C19" s="21">
        <f>63894842711.96</f>
        <v>63894842711.96</v>
      </c>
      <c r="D19" s="21">
        <f>3733538010.21</f>
        <v>3733538010.21</v>
      </c>
      <c r="E19" s="21">
        <f>752308513.88</f>
        <v>752308513.88</v>
      </c>
      <c r="F19" s="21">
        <f>588267211.77</f>
        <v>588267211.77</v>
      </c>
      <c r="G19" s="21">
        <f>2392564261.33</f>
        <v>2392564261.33</v>
      </c>
      <c r="H19" s="21">
        <f>398023.23</f>
        <v>398023.23</v>
      </c>
      <c r="I19" s="21">
        <f>0</f>
        <v>0</v>
      </c>
      <c r="J19" s="21">
        <f>56537149563.93</f>
        <v>56537149563.93</v>
      </c>
      <c r="K19" s="21">
        <f>1643190249.76</f>
        <v>1643190249.76</v>
      </c>
      <c r="L19" s="21">
        <f>1957368574.1</f>
        <v>1957368574.1</v>
      </c>
      <c r="M19" s="21">
        <f>14917120.39</f>
        <v>14917120.39</v>
      </c>
      <c r="N19" s="21">
        <f>8679193.57</f>
        <v>8679193.57</v>
      </c>
      <c r="O19" s="21">
        <f>22170799510.95</f>
        <v>22170799510.95</v>
      </c>
      <c r="P19" s="21">
        <f>22170799510.95</f>
        <v>22170799510.95</v>
      </c>
      <c r="Q19" s="21">
        <f>0</f>
        <v>0</v>
      </c>
    </row>
    <row r="20" spans="1:17" ht="24.75" customHeight="1">
      <c r="A20" s="25" t="s">
        <v>48</v>
      </c>
      <c r="B20" s="26">
        <f>3000000</f>
        <v>3000000</v>
      </c>
      <c r="C20" s="26">
        <f>3000000</f>
        <v>3000000</v>
      </c>
      <c r="D20" s="26">
        <f>3000000</f>
        <v>3000000</v>
      </c>
      <c r="E20" s="26">
        <f>0</f>
        <v>0</v>
      </c>
      <c r="F20" s="26">
        <f>0</f>
        <v>0</v>
      </c>
      <c r="G20" s="26">
        <f>3000000</f>
        <v>3000000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55655321.86</f>
        <v>55655321.86</v>
      </c>
      <c r="C21" s="20">
        <f>55646879.44</f>
        <v>55646879.44</v>
      </c>
      <c r="D21" s="20">
        <f>14068578.91</f>
        <v>14068578.91</v>
      </c>
      <c r="E21" s="20">
        <f>2419649.25</f>
        <v>2419649.25</v>
      </c>
      <c r="F21" s="20">
        <f>2173245.11</f>
        <v>2173245.11</v>
      </c>
      <c r="G21" s="20">
        <f>8173810.09</f>
        <v>8173810.09</v>
      </c>
      <c r="H21" s="20">
        <f>1301874.46</f>
        <v>1301874.46</v>
      </c>
      <c r="I21" s="20">
        <f>0</f>
        <v>0</v>
      </c>
      <c r="J21" s="20">
        <f>309400.13</f>
        <v>309400.13</v>
      </c>
      <c r="K21" s="20">
        <f>1812434.31</f>
        <v>1812434.31</v>
      </c>
      <c r="L21" s="20">
        <f>14477128.67</f>
        <v>14477128.67</v>
      </c>
      <c r="M21" s="20">
        <f>18714867.62</f>
        <v>18714867.62</v>
      </c>
      <c r="N21" s="20">
        <f>6264469.8</f>
        <v>6264469.8</v>
      </c>
      <c r="O21" s="20">
        <f>8442.42</f>
        <v>8442.42</v>
      </c>
      <c r="P21" s="20">
        <f>7599.66</f>
        <v>7599.66</v>
      </c>
      <c r="Q21" s="20">
        <f>842.76</f>
        <v>842.76</v>
      </c>
    </row>
    <row r="22" spans="1:17" ht="33" customHeight="1">
      <c r="A22" s="16" t="s">
        <v>49</v>
      </c>
      <c r="B22" s="21">
        <f>33518849.23</f>
        <v>33518849.23</v>
      </c>
      <c r="C22" s="21">
        <f>33511249.57</f>
        <v>33511249.57</v>
      </c>
      <c r="D22" s="21">
        <f>2151216.42</f>
        <v>2151216.42</v>
      </c>
      <c r="E22" s="21">
        <f>851.75</f>
        <v>851.75</v>
      </c>
      <c r="F22" s="21">
        <f>1035.9</f>
        <v>1035.9</v>
      </c>
      <c r="G22" s="21">
        <f>2149328.77</f>
        <v>2149328.77</v>
      </c>
      <c r="H22" s="21">
        <f>0</f>
        <v>0</v>
      </c>
      <c r="I22" s="21">
        <f>0</f>
        <v>0</v>
      </c>
      <c r="J22" s="21">
        <f>0</f>
        <v>0</v>
      </c>
      <c r="K22" s="21">
        <f>46570.28</f>
        <v>46570.28</v>
      </c>
      <c r="L22" s="21">
        <f>12025744.37</f>
        <v>12025744.37</v>
      </c>
      <c r="M22" s="21">
        <f>14510586.59</f>
        <v>14510586.59</v>
      </c>
      <c r="N22" s="21">
        <f>4777131.91</f>
        <v>4777131.91</v>
      </c>
      <c r="O22" s="21">
        <f>7599.66</f>
        <v>7599.66</v>
      </c>
      <c r="P22" s="21">
        <f>7599.66</f>
        <v>7599.66</v>
      </c>
      <c r="Q22" s="21">
        <f>0</f>
        <v>0</v>
      </c>
    </row>
    <row r="23" spans="1:17" ht="23.25" customHeight="1">
      <c r="A23" s="16" t="s">
        <v>50</v>
      </c>
      <c r="B23" s="21">
        <f>22136472.63</f>
        <v>22136472.63</v>
      </c>
      <c r="C23" s="21">
        <f>22135629.87</f>
        <v>22135629.87</v>
      </c>
      <c r="D23" s="21">
        <f>11917362.49</f>
        <v>11917362.49</v>
      </c>
      <c r="E23" s="21">
        <f>2418797.5</f>
        <v>2418797.5</v>
      </c>
      <c r="F23" s="21">
        <f>2172209.21</f>
        <v>2172209.21</v>
      </c>
      <c r="G23" s="21">
        <f>6024481.32</f>
        <v>6024481.32</v>
      </c>
      <c r="H23" s="21">
        <f>1301874.46</f>
        <v>1301874.46</v>
      </c>
      <c r="I23" s="21">
        <f>0</f>
        <v>0</v>
      </c>
      <c r="J23" s="21">
        <f>309400.13</f>
        <v>309400.13</v>
      </c>
      <c r="K23" s="21">
        <f>1765864.03</f>
        <v>1765864.03</v>
      </c>
      <c r="L23" s="21">
        <f>2451384.3</f>
        <v>2451384.3</v>
      </c>
      <c r="M23" s="21">
        <f>4204281.03</f>
        <v>4204281.03</v>
      </c>
      <c r="N23" s="21">
        <f>1487337.89</f>
        <v>1487337.89</v>
      </c>
      <c r="O23" s="21">
        <f>842.76</f>
        <v>842.76</v>
      </c>
      <c r="P23" s="21">
        <f>0</f>
        <v>0</v>
      </c>
      <c r="Q23" s="21">
        <f>842.76</f>
        <v>842.76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425425.4</f>
        <v>425425.4</v>
      </c>
      <c r="C41" s="22">
        <f>425425.4</f>
        <v>425425.4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122784.2</f>
        <v>122784.2</v>
      </c>
      <c r="K41" s="22">
        <f>24000</f>
        <v>24000</v>
      </c>
      <c r="L41" s="22">
        <f>228641.2</f>
        <v>228641.2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6000</f>
        <v>6000</v>
      </c>
      <c r="C42" s="23">
        <f>6000</f>
        <v>6000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419425.4</f>
        <v>419425.4</v>
      </c>
      <c r="C43" s="23">
        <f>419425.4</f>
        <v>419425.4</v>
      </c>
      <c r="D43" s="23">
        <f>50000</f>
        <v>50000</v>
      </c>
      <c r="E43" s="23">
        <f>50000</f>
        <v>50000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116784.2</f>
        <v>116784.2</v>
      </c>
      <c r="K43" s="23">
        <f>24000</f>
        <v>24000</v>
      </c>
      <c r="L43" s="23">
        <f>228641.2</f>
        <v>228641.2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1533123589.5</f>
        <v>1533123589.5</v>
      </c>
      <c r="C44" s="22">
        <f>1533029345.33</f>
        <v>1533029345.33</v>
      </c>
      <c r="D44" s="22">
        <f>505069448.98</f>
        <v>505069448.98</v>
      </c>
      <c r="E44" s="22">
        <f>679361.42</f>
        <v>679361.42</v>
      </c>
      <c r="F44" s="22">
        <f>576619.78</f>
        <v>576619.78</v>
      </c>
      <c r="G44" s="22">
        <f>502013467.78</f>
        <v>502013467.78</v>
      </c>
      <c r="H44" s="22">
        <f>1800000</f>
        <v>1800000</v>
      </c>
      <c r="I44" s="22">
        <f>0</f>
        <v>0</v>
      </c>
      <c r="J44" s="22">
        <f>47057600.77</f>
        <v>47057600.77</v>
      </c>
      <c r="K44" s="22">
        <f>19445.14</f>
        <v>19445.14</v>
      </c>
      <c r="L44" s="22">
        <f>505825532.39</f>
        <v>505825532.39</v>
      </c>
      <c r="M44" s="22">
        <f>441522995.52</f>
        <v>441522995.52</v>
      </c>
      <c r="N44" s="22">
        <f>33534322.53</f>
        <v>33534322.53</v>
      </c>
      <c r="O44" s="22">
        <f>94244.17</f>
        <v>94244.17</v>
      </c>
      <c r="P44" s="22">
        <f>6776.41</f>
        <v>6776.41</v>
      </c>
      <c r="Q44" s="22">
        <f>87467.76</f>
        <v>87467.76</v>
      </c>
    </row>
    <row r="45" spans="1:17" ht="32.25" customHeight="1">
      <c r="A45" s="17" t="s">
        <v>29</v>
      </c>
      <c r="B45" s="23">
        <f>202481303.55</f>
        <v>202481303.55</v>
      </c>
      <c r="C45" s="23">
        <f>202456303.55</f>
        <v>202456303.55</v>
      </c>
      <c r="D45" s="23">
        <f>28347315.99</f>
        <v>28347315.99</v>
      </c>
      <c r="E45" s="23">
        <f>309051.1</f>
        <v>309051.1</v>
      </c>
      <c r="F45" s="23">
        <f>0</f>
        <v>0</v>
      </c>
      <c r="G45" s="23">
        <f>28038264.89</f>
        <v>28038264.89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84474331.03</f>
        <v>84474331.03</v>
      </c>
      <c r="M45" s="23">
        <f>81291387.97</f>
        <v>81291387.97</v>
      </c>
      <c r="N45" s="23">
        <f>8343268.56</f>
        <v>8343268.56</v>
      </c>
      <c r="O45" s="23">
        <f>25000</f>
        <v>25000</v>
      </c>
      <c r="P45" s="23">
        <f>0</f>
        <v>0</v>
      </c>
      <c r="Q45" s="23">
        <f>25000</f>
        <v>25000</v>
      </c>
    </row>
    <row r="46" spans="1:17" ht="32.25" customHeight="1">
      <c r="A46" s="17" t="s">
        <v>30</v>
      </c>
      <c r="B46" s="23">
        <f>1330642285.95</f>
        <v>1330642285.95</v>
      </c>
      <c r="C46" s="23">
        <f>1330573041.78</f>
        <v>1330573041.78</v>
      </c>
      <c r="D46" s="23">
        <f>476722132.99</f>
        <v>476722132.99</v>
      </c>
      <c r="E46" s="23">
        <f>370310.32</f>
        <v>370310.32</v>
      </c>
      <c r="F46" s="23">
        <f>576619.78</f>
        <v>576619.78</v>
      </c>
      <c r="G46" s="23">
        <f>473975202.89</f>
        <v>473975202.89</v>
      </c>
      <c r="H46" s="23">
        <f>1800000</f>
        <v>1800000</v>
      </c>
      <c r="I46" s="23">
        <f>0</f>
        <v>0</v>
      </c>
      <c r="J46" s="23">
        <f>47057600.77</f>
        <v>47057600.77</v>
      </c>
      <c r="K46" s="23">
        <f>19445.14</f>
        <v>19445.14</v>
      </c>
      <c r="L46" s="23">
        <f>421351201.36</f>
        <v>421351201.36</v>
      </c>
      <c r="M46" s="23">
        <f>360231607.55</f>
        <v>360231607.55</v>
      </c>
      <c r="N46" s="23">
        <f>25191053.97</f>
        <v>25191053.97</v>
      </c>
      <c r="O46" s="23">
        <f>69244.17</f>
        <v>69244.17</v>
      </c>
      <c r="P46" s="23">
        <f>6776.41</f>
        <v>6776.41</v>
      </c>
      <c r="Q46" s="23">
        <f>62467.76</f>
        <v>62467.76</v>
      </c>
    </row>
    <row r="47" spans="1:17" ht="35.25" customHeight="1">
      <c r="A47" s="27" t="s">
        <v>40</v>
      </c>
      <c r="B47" s="22">
        <f>38877472648.9</f>
        <v>38877472648.9</v>
      </c>
      <c r="C47" s="22">
        <f>38877283293.45</f>
        <v>38877283293.45</v>
      </c>
      <c r="D47" s="22">
        <f>20115143.95</f>
        <v>20115143.95</v>
      </c>
      <c r="E47" s="22">
        <f>16615241.67</f>
        <v>16615241.67</v>
      </c>
      <c r="F47" s="22">
        <f>44980.53</f>
        <v>44980.53</v>
      </c>
      <c r="G47" s="22">
        <f>3454921.75</f>
        <v>3454921.75</v>
      </c>
      <c r="H47" s="22">
        <f>0</f>
        <v>0</v>
      </c>
      <c r="I47" s="22">
        <f>19389067.89</f>
        <v>19389067.89</v>
      </c>
      <c r="J47" s="22">
        <f>38831294196.54</f>
        <v>38831294196.54</v>
      </c>
      <c r="K47" s="22">
        <f>17186.91</f>
        <v>17186.91</v>
      </c>
      <c r="L47" s="22">
        <f>6084935.99</f>
        <v>6084935.99</v>
      </c>
      <c r="M47" s="22">
        <f>129957.79</f>
        <v>129957.79</v>
      </c>
      <c r="N47" s="22">
        <f>252804.38</f>
        <v>252804.38</v>
      </c>
      <c r="O47" s="22">
        <f>189355.45</f>
        <v>189355.45</v>
      </c>
      <c r="P47" s="22">
        <f>189355.45</f>
        <v>189355.45</v>
      </c>
      <c r="Q47" s="22">
        <f>0</f>
        <v>0</v>
      </c>
    </row>
    <row r="48" spans="1:17" ht="28.5" customHeight="1">
      <c r="A48" s="17" t="s">
        <v>31</v>
      </c>
      <c r="B48" s="23">
        <f>3273732.29</f>
        <v>3273732.29</v>
      </c>
      <c r="C48" s="23">
        <f>3273732.29</f>
        <v>3273732.29</v>
      </c>
      <c r="D48" s="23">
        <f>3273732.29</f>
        <v>3273732.29</v>
      </c>
      <c r="E48" s="23">
        <f>0</f>
        <v>0</v>
      </c>
      <c r="F48" s="23">
        <f>0</f>
        <v>0</v>
      </c>
      <c r="G48" s="23">
        <f>3273732.29</f>
        <v>3273732.29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37010412093.33</f>
        <v>37010412093.33</v>
      </c>
      <c r="C49" s="23">
        <f>37010412093.33</f>
        <v>37010412093.33</v>
      </c>
      <c r="D49" s="23">
        <f>16581926.63</f>
        <v>16581926.63</v>
      </c>
      <c r="E49" s="23">
        <f>16516721.33</f>
        <v>16516721.33</v>
      </c>
      <c r="F49" s="23">
        <f>1040.03</f>
        <v>1040.03</v>
      </c>
      <c r="G49" s="23">
        <f>64165.27</f>
        <v>64165.27</v>
      </c>
      <c r="H49" s="23">
        <f>0</f>
        <v>0</v>
      </c>
      <c r="I49" s="23">
        <f>19336651.89</f>
        <v>19336651.89</v>
      </c>
      <c r="J49" s="23">
        <f>36969830465.46</f>
        <v>36969830465.46</v>
      </c>
      <c r="K49" s="23">
        <f>906.74</f>
        <v>906.74</v>
      </c>
      <c r="L49" s="23">
        <f>4557847.16</f>
        <v>4557847.16</v>
      </c>
      <c r="M49" s="23">
        <f>10012.33</f>
        <v>10012.33</v>
      </c>
      <c r="N49" s="23">
        <f>94283.12</f>
        <v>94283.12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1863786823.28</f>
        <v>1863786823.28</v>
      </c>
      <c r="C50" s="23">
        <f>1863597467.83</f>
        <v>1863597467.83</v>
      </c>
      <c r="D50" s="23">
        <f>259485.03</f>
        <v>259485.03</v>
      </c>
      <c r="E50" s="23">
        <f>98520.34</f>
        <v>98520.34</v>
      </c>
      <c r="F50" s="23">
        <f>43940.5</f>
        <v>43940.5</v>
      </c>
      <c r="G50" s="23">
        <f>117024.19</f>
        <v>117024.19</v>
      </c>
      <c r="H50" s="23">
        <f>0</f>
        <v>0</v>
      </c>
      <c r="I50" s="23">
        <f>52416</f>
        <v>52416</v>
      </c>
      <c r="J50" s="23">
        <f>1861463731.08</f>
        <v>1861463731.08</v>
      </c>
      <c r="K50" s="23">
        <f>16280.17</f>
        <v>16280.17</v>
      </c>
      <c r="L50" s="23">
        <f>1527088.83</f>
        <v>1527088.83</v>
      </c>
      <c r="M50" s="23">
        <f>119945.46</f>
        <v>119945.46</v>
      </c>
      <c r="N50" s="23">
        <f>158521.26</f>
        <v>158521.26</v>
      </c>
      <c r="O50" s="23">
        <f>189355.45</f>
        <v>189355.45</v>
      </c>
      <c r="P50" s="23">
        <f>189355.45</f>
        <v>189355.45</v>
      </c>
      <c r="Q50" s="23">
        <f>0</f>
        <v>0</v>
      </c>
    </row>
    <row r="51" spans="1:17" ht="35.25" customHeight="1">
      <c r="A51" s="27" t="s">
        <v>41</v>
      </c>
      <c r="B51" s="22">
        <f>23734373624.35</f>
        <v>23734373624.35</v>
      </c>
      <c r="C51" s="22">
        <f>23687227234.47</f>
        <v>23687227234.47</v>
      </c>
      <c r="D51" s="22">
        <f>574589796.91</f>
        <v>574589796.91</v>
      </c>
      <c r="E51" s="22">
        <f>220951638.04</f>
        <v>220951638.04</v>
      </c>
      <c r="F51" s="22">
        <f>31696569.03</f>
        <v>31696569.03</v>
      </c>
      <c r="G51" s="22">
        <f>318295451.66</f>
        <v>318295451.66</v>
      </c>
      <c r="H51" s="22">
        <f>3646138.18</f>
        <v>3646138.18</v>
      </c>
      <c r="I51" s="22">
        <f>0</f>
        <v>0</v>
      </c>
      <c r="J51" s="22">
        <f>24066218.75</f>
        <v>24066218.75</v>
      </c>
      <c r="K51" s="22">
        <f>31818643.93</f>
        <v>31818643.93</v>
      </c>
      <c r="L51" s="22">
        <f>6361799610.37</f>
        <v>6361799610.37</v>
      </c>
      <c r="M51" s="22">
        <f>16557336568.33</f>
        <v>16557336568.33</v>
      </c>
      <c r="N51" s="22">
        <f>137616396.18</f>
        <v>137616396.18</v>
      </c>
      <c r="O51" s="22">
        <f>47146389.88</f>
        <v>47146389.88</v>
      </c>
      <c r="P51" s="22">
        <f>29163925.38</f>
        <v>29163925.38</v>
      </c>
      <c r="Q51" s="22">
        <f>17982464.5</f>
        <v>17982464.5</v>
      </c>
    </row>
    <row r="52" spans="1:17" ht="28.5" customHeight="1">
      <c r="A52" s="17" t="s">
        <v>34</v>
      </c>
      <c r="B52" s="23">
        <f>6808850289.87</f>
        <v>6808850289.87</v>
      </c>
      <c r="C52" s="23">
        <f>6807320604.27</f>
        <v>6807320604.27</v>
      </c>
      <c r="D52" s="23">
        <f>83043053.39</f>
        <v>83043053.39</v>
      </c>
      <c r="E52" s="23">
        <f>3870767.17</f>
        <v>3870767.17</v>
      </c>
      <c r="F52" s="23">
        <f>2141738.84</f>
        <v>2141738.84</v>
      </c>
      <c r="G52" s="23">
        <f>76369361.8</f>
        <v>76369361.8</v>
      </c>
      <c r="H52" s="23">
        <f>661185.58</f>
        <v>661185.58</v>
      </c>
      <c r="I52" s="23">
        <f>0</f>
        <v>0</v>
      </c>
      <c r="J52" s="23">
        <f>13039898.11</f>
        <v>13039898.11</v>
      </c>
      <c r="K52" s="23">
        <f>1406316.73</f>
        <v>1406316.73</v>
      </c>
      <c r="L52" s="23">
        <f>1074001935.71</f>
        <v>1074001935.71</v>
      </c>
      <c r="M52" s="23">
        <f>5600692031.5</f>
        <v>5600692031.5</v>
      </c>
      <c r="N52" s="23">
        <f>35137368.83</f>
        <v>35137368.83</v>
      </c>
      <c r="O52" s="23">
        <f>1529685.6</f>
        <v>1529685.6</v>
      </c>
      <c r="P52" s="23">
        <f>561899.36</f>
        <v>561899.36</v>
      </c>
      <c r="Q52" s="23">
        <f>967786.24</f>
        <v>967786.24</v>
      </c>
    </row>
    <row r="53" spans="1:17" ht="28.5" customHeight="1">
      <c r="A53" s="17" t="s">
        <v>35</v>
      </c>
      <c r="B53" s="23">
        <f>16925523334.48</f>
        <v>16925523334.48</v>
      </c>
      <c r="C53" s="23">
        <f>16879906630.2</f>
        <v>16879906630.2</v>
      </c>
      <c r="D53" s="23">
        <f>491546743.52</f>
        <v>491546743.52</v>
      </c>
      <c r="E53" s="23">
        <f>217080870.87</f>
        <v>217080870.87</v>
      </c>
      <c r="F53" s="23">
        <f>29554830.19</f>
        <v>29554830.19</v>
      </c>
      <c r="G53" s="23">
        <f>241926089.86</f>
        <v>241926089.86</v>
      </c>
      <c r="H53" s="23">
        <f>2984952.6</f>
        <v>2984952.6</v>
      </c>
      <c r="I53" s="23">
        <f>0</f>
        <v>0</v>
      </c>
      <c r="J53" s="23">
        <f>11026320.64</f>
        <v>11026320.64</v>
      </c>
      <c r="K53" s="23">
        <f>30412327.2</f>
        <v>30412327.2</v>
      </c>
      <c r="L53" s="23">
        <f>5287797674.66</f>
        <v>5287797674.66</v>
      </c>
      <c r="M53" s="23">
        <f>10956644536.83</f>
        <v>10956644536.83</v>
      </c>
      <c r="N53" s="23">
        <f>102479027.35</f>
        <v>102479027.35</v>
      </c>
      <c r="O53" s="23">
        <f>45616704.28</f>
        <v>45616704.28</v>
      </c>
      <c r="P53" s="23">
        <f>28602026.02</f>
        <v>28602026.02</v>
      </c>
      <c r="Q53" s="23">
        <f>17014678.26</f>
        <v>17014678.26</v>
      </c>
    </row>
    <row r="54" spans="1:17" ht="35.25" customHeight="1">
      <c r="A54" s="27" t="s">
        <v>42</v>
      </c>
      <c r="B54" s="22">
        <f>5855617835.44</f>
        <v>5855617835.44</v>
      </c>
      <c r="C54" s="22">
        <f>5822871172.37</f>
        <v>5822871172.37</v>
      </c>
      <c r="D54" s="22">
        <f>1334196698.03</f>
        <v>1334196698.03</v>
      </c>
      <c r="E54" s="22">
        <f>662371534.86</f>
        <v>662371534.86</v>
      </c>
      <c r="F54" s="22">
        <f>30686687.31</f>
        <v>30686687.31</v>
      </c>
      <c r="G54" s="22">
        <f>624031078.41</f>
        <v>624031078.41</v>
      </c>
      <c r="H54" s="22">
        <f>17107397.45</f>
        <v>17107397.45</v>
      </c>
      <c r="I54" s="22">
        <f>58821.72</f>
        <v>58821.72</v>
      </c>
      <c r="J54" s="22">
        <f>5177551.07</f>
        <v>5177551.07</v>
      </c>
      <c r="K54" s="22">
        <f>35579773.04</f>
        <v>35579773.04</v>
      </c>
      <c r="L54" s="22">
        <f>2564659336.3</f>
        <v>2564659336.3</v>
      </c>
      <c r="M54" s="22">
        <f>1663341914.38</f>
        <v>1663341914.38</v>
      </c>
      <c r="N54" s="22">
        <f>219857077.83</f>
        <v>219857077.83</v>
      </c>
      <c r="O54" s="22">
        <f>32746663.07</f>
        <v>32746663.07</v>
      </c>
      <c r="P54" s="22">
        <f>26713402.24</f>
        <v>26713402.24</v>
      </c>
      <c r="Q54" s="22">
        <f>6033260.83</f>
        <v>6033260.83</v>
      </c>
    </row>
    <row r="55" spans="1:17" ht="28.5" customHeight="1">
      <c r="A55" s="17" t="s">
        <v>36</v>
      </c>
      <c r="B55" s="23">
        <f>1084527373.94</f>
        <v>1084527373.94</v>
      </c>
      <c r="C55" s="23">
        <f>1082392856.14</f>
        <v>1082392856.14</v>
      </c>
      <c r="D55" s="23">
        <f>78686715.22</f>
        <v>78686715.22</v>
      </c>
      <c r="E55" s="23">
        <f>5592963.48</f>
        <v>5592963.48</v>
      </c>
      <c r="F55" s="23">
        <f>12668369.36</f>
        <v>12668369.36</v>
      </c>
      <c r="G55" s="23">
        <f>57918837.76</f>
        <v>57918837.76</v>
      </c>
      <c r="H55" s="23">
        <f>2506544.62</f>
        <v>2506544.62</v>
      </c>
      <c r="I55" s="23">
        <f>0</f>
        <v>0</v>
      </c>
      <c r="J55" s="23">
        <f>338526.03</f>
        <v>338526.03</v>
      </c>
      <c r="K55" s="23">
        <f>1995490.38</f>
        <v>1995490.38</v>
      </c>
      <c r="L55" s="23">
        <f>445797009.52</f>
        <v>445797009.52</v>
      </c>
      <c r="M55" s="23">
        <f>544064788.63</f>
        <v>544064788.63</v>
      </c>
      <c r="N55" s="23">
        <f>11510326.36</f>
        <v>11510326.36</v>
      </c>
      <c r="O55" s="23">
        <f>2134517.8</f>
        <v>2134517.8</v>
      </c>
      <c r="P55" s="23">
        <f>194505.5</f>
        <v>194505.5</v>
      </c>
      <c r="Q55" s="23">
        <f>1940012.3</f>
        <v>1940012.3</v>
      </c>
    </row>
    <row r="56" spans="1:17" ht="47.25" customHeight="1">
      <c r="A56" s="17" t="s">
        <v>76</v>
      </c>
      <c r="B56" s="23">
        <f>591849454.76</f>
        <v>591849454.76</v>
      </c>
      <c r="C56" s="23">
        <f>591834281.53</f>
        <v>591834281.53</v>
      </c>
      <c r="D56" s="23">
        <f>214077083.9</f>
        <v>214077083.9</v>
      </c>
      <c r="E56" s="23">
        <f>193181166.05</f>
        <v>193181166.05</v>
      </c>
      <c r="F56" s="23">
        <f>3926942.68</f>
        <v>3926942.68</v>
      </c>
      <c r="G56" s="23">
        <f>13624891.7</f>
        <v>13624891.7</v>
      </c>
      <c r="H56" s="23">
        <f>3344083.47</f>
        <v>3344083.47</v>
      </c>
      <c r="I56" s="23">
        <f>1580.77</f>
        <v>1580.77</v>
      </c>
      <c r="J56" s="23">
        <f>1205424.84</f>
        <v>1205424.84</v>
      </c>
      <c r="K56" s="23">
        <f>2260063.66</f>
        <v>2260063.66</v>
      </c>
      <c r="L56" s="23">
        <f>223951033.01</f>
        <v>223951033.01</v>
      </c>
      <c r="M56" s="23">
        <f>148856441.64</f>
        <v>148856441.64</v>
      </c>
      <c r="N56" s="23">
        <f>1482653.71</f>
        <v>1482653.71</v>
      </c>
      <c r="O56" s="23">
        <f>15173.23</f>
        <v>15173.23</v>
      </c>
      <c r="P56" s="23">
        <f>8870.6</f>
        <v>8870.6</v>
      </c>
      <c r="Q56" s="23">
        <f>6302.63</f>
        <v>6302.63</v>
      </c>
    </row>
    <row r="57" spans="1:17" ht="35.25" customHeight="1">
      <c r="A57" s="17" t="s">
        <v>37</v>
      </c>
      <c r="B57" s="23">
        <f>4179241006.74</f>
        <v>4179241006.74</v>
      </c>
      <c r="C57" s="23">
        <f>4148644034.7</f>
        <v>4148644034.7</v>
      </c>
      <c r="D57" s="23">
        <f>1041432898.91</f>
        <v>1041432898.91</v>
      </c>
      <c r="E57" s="23">
        <f>463597405.33</f>
        <v>463597405.33</v>
      </c>
      <c r="F57" s="23">
        <f>14091375.27</f>
        <v>14091375.27</v>
      </c>
      <c r="G57" s="23">
        <f>552487348.95</f>
        <v>552487348.95</v>
      </c>
      <c r="H57" s="23">
        <f>11256769.36</f>
        <v>11256769.36</v>
      </c>
      <c r="I57" s="23">
        <f>57240.95</f>
        <v>57240.95</v>
      </c>
      <c r="J57" s="23">
        <f>3633600.2</f>
        <v>3633600.2</v>
      </c>
      <c r="K57" s="23">
        <f>31324219</f>
        <v>31324219</v>
      </c>
      <c r="L57" s="23">
        <f>1894911293.77</f>
        <v>1894911293.77</v>
      </c>
      <c r="M57" s="23">
        <f>970420684.11</f>
        <v>970420684.11</v>
      </c>
      <c r="N57" s="23">
        <f>206864097.76</f>
        <v>206864097.76</v>
      </c>
      <c r="O57" s="23">
        <f>30596972.04</f>
        <v>30596972.04</v>
      </c>
      <c r="P57" s="23">
        <f>26510026.14</f>
        <v>26510026.14</v>
      </c>
      <c r="Q57" s="23">
        <f>4086945.9</f>
        <v>4086945.9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4857525824.74</f>
        <v>4857525824.74</v>
      </c>
      <c r="G78" s="21">
        <f>1216854263.18</f>
        <v>1216854263.18</v>
      </c>
      <c r="H78" s="21">
        <f>56238884.29</f>
        <v>56238884.29</v>
      </c>
      <c r="I78" s="21">
        <f>330087118.73</f>
        <v>330087118.73</v>
      </c>
      <c r="J78" s="21">
        <f>810793171.23</f>
        <v>810793171.23</v>
      </c>
      <c r="K78" s="21">
        <f>19735088.93</f>
        <v>19735088.93</v>
      </c>
      <c r="L78" s="21">
        <f>3640671561.56</f>
        <v>3640671561.56</v>
      </c>
    </row>
    <row r="79" spans="2:12" ht="33.75" customHeight="1">
      <c r="B79" s="47" t="s">
        <v>52</v>
      </c>
      <c r="C79" s="48"/>
      <c r="D79" s="48"/>
      <c r="E79" s="49"/>
      <c r="F79" s="24">
        <f>26065891.3</f>
        <v>26065891.3</v>
      </c>
      <c r="G79" s="24">
        <f>21861158.51</f>
        <v>21861158.51</v>
      </c>
      <c r="H79" s="24">
        <f>0</f>
        <v>0</v>
      </c>
      <c r="I79" s="24">
        <f>0</f>
        <v>0</v>
      </c>
      <c r="J79" s="24">
        <f>21861158.51</f>
        <v>21861158.51</v>
      </c>
      <c r="K79" s="24">
        <f>0</f>
        <v>0</v>
      </c>
      <c r="L79" s="24">
        <f>4204732.79</f>
        <v>4204732.79</v>
      </c>
    </row>
    <row r="80" spans="2:12" ht="33.75" customHeight="1">
      <c r="B80" s="47" t="s">
        <v>53</v>
      </c>
      <c r="C80" s="48"/>
      <c r="D80" s="48"/>
      <c r="E80" s="49"/>
      <c r="F80" s="24">
        <f>864116250.87</f>
        <v>864116250.87</v>
      </c>
      <c r="G80" s="24">
        <f>160462109.84</f>
        <v>160462109.84</v>
      </c>
      <c r="H80" s="24">
        <f>1457802</f>
        <v>1457802</v>
      </c>
      <c r="I80" s="24">
        <f>43945164</f>
        <v>43945164</v>
      </c>
      <c r="J80" s="24">
        <f>111642637.62</f>
        <v>111642637.62</v>
      </c>
      <c r="K80" s="24">
        <f>3416506.22</f>
        <v>3416506.22</v>
      </c>
      <c r="L80" s="24">
        <f>703654141.03</f>
        <v>703654141.03</v>
      </c>
    </row>
    <row r="81" spans="2:12" ht="22.5" customHeight="1">
      <c r="B81" s="47" t="s">
        <v>54</v>
      </c>
      <c r="C81" s="48"/>
      <c r="D81" s="48"/>
      <c r="E81" s="49"/>
      <c r="F81" s="24">
        <f>79855039.74</f>
        <v>79855039.74</v>
      </c>
      <c r="G81" s="24">
        <f>43201527.52</f>
        <v>43201527.52</v>
      </c>
      <c r="H81" s="24">
        <f>0</f>
        <v>0</v>
      </c>
      <c r="I81" s="24">
        <f>2081333.4</f>
        <v>2081333.4</v>
      </c>
      <c r="J81" s="24">
        <f>41120194.12</f>
        <v>41120194.12</v>
      </c>
      <c r="K81" s="24">
        <f>0</f>
        <v>0</v>
      </c>
      <c r="L81" s="24">
        <f>36653512.22</f>
        <v>36653512.22</v>
      </c>
    </row>
    <row r="82" spans="2:12" ht="33.75" customHeight="1">
      <c r="B82" s="47" t="s">
        <v>55</v>
      </c>
      <c r="C82" s="48"/>
      <c r="D82" s="48"/>
      <c r="E82" s="49"/>
      <c r="F82" s="24">
        <f>11499575.99</f>
        <v>11499575.99</v>
      </c>
      <c r="G82" s="24">
        <f>10874768.82</f>
        <v>10874768.82</v>
      </c>
      <c r="H82" s="24">
        <f>0</f>
        <v>0</v>
      </c>
      <c r="I82" s="24">
        <f>0</f>
        <v>0</v>
      </c>
      <c r="J82" s="24">
        <f>10874768.82</f>
        <v>10874768.82</v>
      </c>
      <c r="K82" s="24">
        <f>0</f>
        <v>0</v>
      </c>
      <c r="L82" s="24">
        <f>624807.17</f>
        <v>624807.17</v>
      </c>
    </row>
    <row r="83" spans="2:12" ht="33.75" customHeight="1">
      <c r="B83" s="47" t="s">
        <v>56</v>
      </c>
      <c r="C83" s="48"/>
      <c r="D83" s="48"/>
      <c r="E83" s="49"/>
      <c r="F83" s="24">
        <f>20912018.88</f>
        <v>20912018.88</v>
      </c>
      <c r="G83" s="24">
        <f>13025946.58</f>
        <v>13025946.58</v>
      </c>
      <c r="H83" s="24">
        <f>0</f>
        <v>0</v>
      </c>
      <c r="I83" s="24">
        <f>750000</f>
        <v>750000</v>
      </c>
      <c r="J83" s="24">
        <f>12275946.58</f>
        <v>12275946.58</v>
      </c>
      <c r="K83" s="24">
        <f>0</f>
        <v>0</v>
      </c>
      <c r="L83" s="24">
        <f>7886072.3</f>
        <v>7886072.3</v>
      </c>
    </row>
    <row r="84" spans="2:12" ht="33" customHeight="1">
      <c r="B84" s="50" t="s">
        <v>57</v>
      </c>
      <c r="C84" s="51"/>
      <c r="D84" s="51"/>
      <c r="E84" s="52"/>
      <c r="F84" s="21">
        <f>9693765.91</f>
        <v>9693765.91</v>
      </c>
      <c r="G84" s="21">
        <f>3195861.02</f>
        <v>3195861.02</v>
      </c>
      <c r="H84" s="21">
        <f>0</f>
        <v>0</v>
      </c>
      <c r="I84" s="21">
        <f>0</f>
        <v>0</v>
      </c>
      <c r="J84" s="21">
        <f>3195861.02</f>
        <v>3195861.02</v>
      </c>
      <c r="K84" s="21">
        <f>0</f>
        <v>0</v>
      </c>
      <c r="L84" s="21">
        <f>6497904.89</f>
        <v>6497904.89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2242</f>
        <v>2242</v>
      </c>
      <c r="H90" s="55"/>
      <c r="I90" s="56">
        <f>11145223575.29</f>
        <v>11145223575.29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565</f>
        <v>565</v>
      </c>
      <c r="H91" s="62"/>
      <c r="I91" s="63">
        <f>-5455740884.84</f>
        <v>-5455740884.84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2021-03-29T10:55:29Z</dcterms:modified>
  <cp:category/>
  <cp:version/>
  <cp:contentType/>
  <cp:contentStatus/>
</cp:coreProperties>
</file>