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```ST7\Besti@\2023\I kwartał\Dane ostateczne 2023.05.26\Zbiorówki_2023_k1_20230526\"/>
    </mc:Choice>
  </mc:AlternateContent>
  <bookViews>
    <workbookView xWindow="240" yWindow="120" windowWidth="14220" windowHeight="8835"/>
  </bookViews>
  <sheets>
    <sheet name="doch_wyd" sheetId="4" r:id="rId1"/>
  </sheets>
  <definedNames>
    <definedName name="_xlnm.Print_Area" localSheetId="0">doch_wyd!$B$1:$L$106</definedName>
  </definedNames>
  <calcPr calcId="152511"/>
</workbook>
</file>

<file path=xl/calcChain.xml><?xml version="1.0" encoding="utf-8"?>
<calcChain xmlns="http://schemas.openxmlformats.org/spreadsheetml/2006/main">
  <c r="C106" i="4" l="1"/>
  <c r="C105" i="4"/>
  <c r="C104" i="4"/>
  <c r="C103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J19" i="4" s="1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D5" i="4"/>
  <c r="C5" i="4"/>
  <c r="J88" i="4"/>
  <c r="J87" i="4"/>
  <c r="K88" i="4"/>
  <c r="K87" i="4"/>
  <c r="J81" i="4"/>
  <c r="J80" i="4"/>
  <c r="J82" i="4"/>
  <c r="K82" i="4"/>
  <c r="K81" i="4"/>
  <c r="K80" i="4"/>
  <c r="K7" i="4"/>
  <c r="K9" i="4"/>
  <c r="K14" i="4"/>
  <c r="K16" i="4"/>
  <c r="D103" i="4"/>
  <c r="C61" i="4"/>
  <c r="K5" i="4"/>
  <c r="C40" i="4"/>
  <c r="C42" i="4" s="1"/>
  <c r="K8" i="4"/>
  <c r="K13" i="4"/>
  <c r="C12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C35" i="4"/>
  <c r="K36" i="4"/>
  <c r="K37" i="4"/>
  <c r="K38" i="4"/>
  <c r="K39" i="4"/>
  <c r="K41" i="4"/>
  <c r="K51" i="4"/>
  <c r="C54" i="4"/>
  <c r="C60" i="4" s="1"/>
  <c r="E54" i="4"/>
  <c r="E60" i="4"/>
  <c r="G54" i="4"/>
  <c r="G60" i="4" s="1"/>
  <c r="I54" i="4"/>
  <c r="I60" i="4" s="1"/>
  <c r="K53" i="4"/>
  <c r="K56" i="4"/>
  <c r="K58" i="4"/>
  <c r="C67" i="4"/>
  <c r="K67" i="4" s="1"/>
  <c r="K65" i="4"/>
  <c r="E67" i="4"/>
  <c r="G67" i="4"/>
  <c r="I67" i="4"/>
  <c r="K72" i="4"/>
  <c r="K73" i="4"/>
  <c r="K74" i="4"/>
  <c r="K75" i="4"/>
  <c r="K76" i="4"/>
  <c r="K77" i="4"/>
  <c r="K78" i="4"/>
  <c r="K79" i="4"/>
  <c r="K83" i="4"/>
  <c r="K84" i="4"/>
  <c r="K85" i="4"/>
  <c r="K86" i="4"/>
  <c r="J15" i="4"/>
  <c r="J36" i="4"/>
  <c r="J8" i="4"/>
  <c r="J27" i="4"/>
  <c r="J22" i="4"/>
  <c r="J23" i="4"/>
  <c r="J34" i="4"/>
  <c r="J37" i="4"/>
  <c r="J17" i="4"/>
  <c r="D61" i="4"/>
  <c r="J33" i="4"/>
  <c r="J20" i="4"/>
  <c r="J18" i="4"/>
  <c r="J9" i="4"/>
  <c r="J39" i="4"/>
  <c r="J30" i="4"/>
  <c r="J38" i="4"/>
  <c r="J5" i="4"/>
  <c r="J21" i="4"/>
  <c r="J16" i="4"/>
  <c r="J32" i="4"/>
  <c r="J13" i="4"/>
  <c r="J26" i="4"/>
  <c r="J7" i="4"/>
  <c r="D40" i="4"/>
  <c r="J41" i="4" s="1"/>
  <c r="J14" i="4"/>
  <c r="J31" i="4"/>
  <c r="J24" i="4"/>
  <c r="J25" i="4"/>
  <c r="J28" i="4"/>
  <c r="J29" i="4"/>
  <c r="D35" i="4"/>
  <c r="J35" i="4" s="1"/>
  <c r="J51" i="4"/>
  <c r="J53" i="4"/>
  <c r="J59" i="4"/>
  <c r="J57" i="4"/>
  <c r="J52" i="4"/>
  <c r="J55" i="4"/>
  <c r="D54" i="4"/>
  <c r="D60" i="4" s="1"/>
  <c r="J60" i="4" s="1"/>
  <c r="J58" i="4"/>
  <c r="J56" i="4"/>
  <c r="F54" i="4"/>
  <c r="F60" i="4" s="1"/>
  <c r="H54" i="4"/>
  <c r="H60" i="4" s="1"/>
  <c r="K52" i="4"/>
  <c r="K55" i="4"/>
  <c r="K57" i="4"/>
  <c r="K59" i="4"/>
  <c r="J66" i="4"/>
  <c r="D67" i="4"/>
  <c r="J67" i="4"/>
  <c r="J65" i="4"/>
  <c r="F67" i="4"/>
  <c r="H67" i="4"/>
  <c r="K66" i="4"/>
  <c r="J73" i="4"/>
  <c r="J77" i="4"/>
  <c r="J75" i="4"/>
  <c r="J79" i="4"/>
  <c r="J72" i="4"/>
  <c r="J78" i="4"/>
  <c r="J74" i="4"/>
  <c r="J76" i="4"/>
  <c r="J83" i="4"/>
  <c r="J84" i="4"/>
  <c r="J86" i="4"/>
  <c r="J85" i="4"/>
  <c r="C11" i="4"/>
  <c r="B44" i="4"/>
  <c r="B68" i="4"/>
  <c r="B1" i="4"/>
  <c r="C6" i="4"/>
  <c r="C10" i="4" s="1"/>
  <c r="K40" i="4" l="1"/>
  <c r="J54" i="4"/>
  <c r="K60" i="4"/>
  <c r="K54" i="4"/>
  <c r="K35" i="4"/>
  <c r="D12" i="4"/>
  <c r="D42" i="4"/>
  <c r="K42" i="4" s="1"/>
  <c r="J40" i="4"/>
  <c r="C62" i="4"/>
  <c r="J12" i="4" l="1"/>
  <c r="K12" i="4"/>
  <c r="D11" i="4"/>
  <c r="K11" i="4"/>
  <c r="J11" i="4"/>
  <c r="D6" i="4"/>
  <c r="J42" i="4"/>
  <c r="D62" i="4"/>
  <c r="J6" i="4" l="1"/>
  <c r="L9" i="4"/>
  <c r="L8" i="4"/>
  <c r="L6" i="4"/>
  <c r="L7" i="4"/>
  <c r="D10" i="4"/>
  <c r="K6" i="4"/>
  <c r="J10" i="4" l="1"/>
  <c r="L10" i="4"/>
  <c r="K10" i="4"/>
</calcChain>
</file>

<file path=xl/sharedStrings.xml><?xml version="1.0" encoding="utf-8"?>
<sst xmlns="http://schemas.openxmlformats.org/spreadsheetml/2006/main" count="400" uniqueCount="104">
  <si>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</si>
  <si>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</si>
  <si>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</si>
  <si>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</si>
  <si>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</si>
  <si>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</si>
  <si>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</si>
  <si>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</si>
  <si>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</si>
  <si>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</si>
  <si>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</si>
  <si>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</si>
  <si>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</si>
  <si>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</si>
  <si>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</si>
  <si>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</si>
  <si>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</si>
  <si>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</si>
  <si>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</si>
  <si>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</si>
  <si>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</si>
  <si>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</si>
  <si>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</si>
  <si>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</si>
  <si>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</si>
  <si>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</si>
  <si>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</si>
  <si>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</si>
  <si>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</si>
  <si>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równoważąca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</si>
  <si>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</si>
  <si>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</si>
  <si>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</si>
  <si>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</si>
  <si>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</si>
  <si>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</si>
  <si>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</si>
  <si>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</si>
  <si>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</si>
  <si>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</si>
  <si>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</si>
  <si>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</si>
  <si>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</si>
  <si>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</si>
  <si>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</si>
  <si>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</si>
  <si>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</si>
  <si>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</si>
  <si>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</si>
  <si>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</si>
  <si>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</si>
  <si>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</si>
  <si>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</si>
  <si>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</si>
  <si>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</si>
  <si>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</si>
  <si>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</si>
  <si>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</si>
  <si>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</si>
  <si>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</si>
  <si>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</si>
  <si>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</si>
  <si>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</si>
  <si>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</si>
  <si>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</si>
  <si>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</si>
  <si>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</si>
  <si>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</si>
  <si>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Dotacje §§ 205 i 625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</si>
  <si>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</si>
  <si>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</si>
  <si>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</si>
  <si>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</si>
  <si>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</si>
  <si>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wykup papierów wartościowych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</si>
  <si>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</si>
  <si>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</si>
  <si>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</si>
  <si>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</si>
  <si>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</si>
  <si>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</si>
  <si>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</si>
  <si>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</si>
  <si>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udzielone pożyczki</t>
  </si>
  <si>
    <t>wynagrodzenia i składki od nich naliczane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</si>
  <si>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</si>
  <si>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</si>
  <si>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</si>
  <si>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</si>
  <si>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</si>
  <si>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</si>
  <si>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Dotacje ogółem 
z tego:</t>
  </si>
  <si>
    <t>Wydatki ogółem UE 
z tego:</t>
  </si>
  <si>
    <t>Dochody bieżące
minus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</si>
  <si>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</si>
  <si>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</si>
  <si>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</si>
  <si>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</si>
  <si>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</si>
  <si>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</si>
  <si>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</si>
  <si>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</si>
  <si>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spłaty kredytów i  pożyczek, wykup papierów wartościowych 
w tym:</t>
  </si>
  <si>
    <t>FINANSOWANIE DEFICYTU (E1+E2+E3+E4+E5+E6+E7+E8)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</si>
</sst>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6" fillId="0" borderId="0"/>
    <xf numFmtId="0" fontId="36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/>
    </xf>
    <xf numFmtId="4" fontId="32" fillId="20" borderId="10" xfId="0" applyNumberFormat="1" applyFont="1" applyFill="1" applyBorder="1" applyAlignment="1">
      <alignment horizontal="right" vertical="center"/>
    </xf>
    <xf numFmtId="164" fontId="32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164" fontId="33" fillId="0" borderId="10" xfId="0" applyNumberFormat="1" applyFont="1" applyFill="1" applyBorder="1" applyAlignment="1">
      <alignment horizontal="right" vertical="center"/>
    </xf>
    <xf numFmtId="164" fontId="33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164" fontId="34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" fontId="32" fillId="20" borderId="10" xfId="0" applyNumberFormat="1" applyFont="1" applyFill="1" applyBorder="1" applyAlignment="1">
      <alignment horizontal="right" vertical="center" wrapText="1"/>
    </xf>
    <xf numFmtId="164" fontId="35" fillId="20" borderId="10" xfId="0" applyNumberFormat="1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Border="1"/>
    <xf numFmtId="3" fontId="32" fillId="0" borderId="0" xfId="0" applyNumberFormat="1" applyFont="1" applyBorder="1" applyAlignment="1">
      <alignment horizontal="right" vertical="center"/>
    </xf>
    <xf numFmtId="164" fontId="34" fillId="0" borderId="0" xfId="0" applyNumberFormat="1" applyFont="1"/>
    <xf numFmtId="4" fontId="35" fillId="20" borderId="12" xfId="0" applyNumberFormat="1" applyFont="1" applyFill="1" applyBorder="1" applyAlignment="1">
      <alignment horizontal="right" vertical="center"/>
    </xf>
    <xf numFmtId="164" fontId="35" fillId="20" borderId="10" xfId="28" applyNumberFormat="1" applyFont="1" applyFill="1" applyBorder="1" applyAlignment="1">
      <alignment horizontal="right" vertical="center"/>
    </xf>
    <xf numFmtId="4" fontId="34" fillId="0" borderId="12" xfId="0" applyNumberFormat="1" applyFont="1" applyBorder="1" applyAlignment="1">
      <alignment horizontal="right" vertical="center"/>
    </xf>
    <xf numFmtId="164" fontId="35" fillId="21" borderId="10" xfId="28" applyNumberFormat="1" applyFont="1" applyFill="1" applyBorder="1" applyAlignment="1">
      <alignment horizontal="right" vertical="center"/>
    </xf>
    <xf numFmtId="164" fontId="35" fillId="21" borderId="10" xfId="0" applyNumberFormat="1" applyFont="1" applyFill="1" applyBorder="1" applyAlignment="1">
      <alignment horizontal="right" vertical="center"/>
    </xf>
    <xf numFmtId="4" fontId="34" fillId="22" borderId="12" xfId="0" applyNumberFormat="1" applyFont="1" applyFill="1" applyBorder="1" applyAlignment="1">
      <alignment horizontal="right" vertical="center"/>
    </xf>
    <xf numFmtId="164" fontId="35" fillId="22" borderId="10" xfId="0" applyNumberFormat="1" applyFont="1" applyFill="1" applyBorder="1" applyAlignment="1">
      <alignment horizontal="right" vertical="center"/>
    </xf>
    <xf numFmtId="4" fontId="35" fillId="22" borderId="12" xfId="0" applyNumberFormat="1" applyFont="1" applyFill="1" applyBorder="1" applyAlignment="1">
      <alignment horizontal="right" vertical="center"/>
    </xf>
    <xf numFmtId="0" fontId="11" fillId="19" borderId="10" xfId="0" applyFont="1" applyFill="1" applyBorder="1" applyAlignment="1">
      <alignment horizontal="center" vertical="center" wrapText="1"/>
    </xf>
    <xf numFmtId="0" fontId="37" fillId="22" borderId="10" xfId="44" applyFont="1" applyFill="1" applyBorder="1" applyAlignment="1">
      <alignment horizontal="left" vertical="top" wrapText="1"/>
    </xf>
    <xf numFmtId="4" fontId="32" fillId="22" borderId="10" xfId="0" applyNumberFormat="1" applyFont="1" applyFill="1" applyBorder="1" applyAlignment="1">
      <alignment horizontal="right" vertical="center"/>
    </xf>
    <xf numFmtId="164" fontId="32" fillId="22" borderId="10" xfId="0" applyNumberFormat="1" applyFont="1" applyFill="1" applyBorder="1" applyAlignment="1">
      <alignment horizontal="right" vertical="center"/>
    </xf>
    <xf numFmtId="4" fontId="34" fillId="0" borderId="10" xfId="0" applyNumberFormat="1" applyFont="1" applyFill="1" applyBorder="1" applyAlignment="1">
      <alignment horizontal="right" vertical="center"/>
    </xf>
    <xf numFmtId="164" fontId="33" fillId="0" borderId="0" xfId="0" applyNumberFormat="1" applyFont="1" applyFill="1" applyBorder="1" applyAlignment="1">
      <alignment horizontal="right" vertical="center"/>
    </xf>
    <xf numFmtId="4" fontId="33" fillId="22" borderId="10" xfId="0" applyNumberFormat="1" applyFont="1" applyFill="1" applyBorder="1" applyAlignment="1">
      <alignment horizontal="right" vertical="center"/>
    </xf>
    <xf numFmtId="164" fontId="33" fillId="22" borderId="10" xfId="0" applyNumberFormat="1" applyFont="1" applyFill="1" applyBorder="1" applyAlignment="1">
      <alignment horizontal="right" vertical="center"/>
    </xf>
    <xf numFmtId="4" fontId="35" fillId="22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 wrapText="1"/>
    </xf>
    <xf numFmtId="4" fontId="33" fillId="22" borderId="10" xfId="0" applyNumberFormat="1" applyFont="1" applyFill="1" applyBorder="1" applyAlignment="1">
      <alignment horizontal="right" vertical="center" wrapText="1"/>
    </xf>
    <xf numFmtId="164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 wrapText="1"/>
    </xf>
    <xf numFmtId="4" fontId="32" fillId="20" borderId="11" xfId="0" applyNumberFormat="1" applyFont="1" applyFill="1" applyBorder="1" applyAlignment="1">
      <alignment horizontal="right" vertical="center" wrapText="1"/>
    </xf>
    <xf numFmtId="4" fontId="34" fillId="0" borderId="12" xfId="0" applyNumberFormat="1" applyFont="1" applyFill="1" applyBorder="1" applyAlignment="1">
      <alignment horizontal="right" vertical="center"/>
    </xf>
    <xf numFmtId="164" fontId="35" fillId="0" borderId="10" xfId="28" applyNumberFormat="1" applyFont="1" applyFill="1" applyBorder="1" applyAlignment="1">
      <alignment horizontal="right" vertical="center"/>
    </xf>
    <xf numFmtId="164" fontId="35" fillId="0" borderId="10" xfId="0" applyNumberFormat="1" applyFont="1" applyFill="1" applyBorder="1" applyAlignment="1">
      <alignment horizontal="right" vertical="center"/>
    </xf>
    <xf numFmtId="4" fontId="33" fillId="21" borderId="10" xfId="0" applyNumberFormat="1" applyFont="1" applyFill="1" applyBorder="1" applyAlignment="1">
      <alignment horizontal="right" vertical="center"/>
    </xf>
    <xf numFmtId="164" fontId="33" fillId="21" borderId="10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horizontal="center" vertical="center"/>
    </xf>
    <xf numFmtId="4" fontId="35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vertical="center"/>
    </xf>
    <xf numFmtId="4" fontId="35" fillId="22" borderId="10" xfId="0" applyNumberFormat="1" applyFont="1" applyFill="1" applyBorder="1" applyAlignment="1">
      <alignment vertical="center"/>
    </xf>
    <xf numFmtId="4" fontId="32" fillId="22" borderId="10" xfId="0" applyNumberFormat="1" applyFont="1" applyFill="1" applyBorder="1" applyAlignment="1">
      <alignment vertical="center" wrapText="1"/>
    </xf>
    <xf numFmtId="4" fontId="33" fillId="0" borderId="10" xfId="0" applyNumberFormat="1" applyFont="1" applyBorder="1" applyAlignment="1">
      <alignment vertical="center"/>
    </xf>
    <xf numFmtId="4" fontId="33" fillId="0" borderId="10" xfId="0" applyNumberFormat="1" applyFont="1" applyFill="1" applyBorder="1" applyAlignment="1">
      <alignment vertical="center" wrapText="1"/>
    </xf>
    <xf numFmtId="4" fontId="33" fillId="0" borderId="10" xfId="0" applyNumberFormat="1" applyFont="1" applyFill="1" applyBorder="1" applyAlignment="1">
      <alignment vertical="center"/>
    </xf>
    <xf numFmtId="4" fontId="33" fillId="0" borderId="12" xfId="0" applyNumberFormat="1" applyFont="1" applyFill="1" applyBorder="1" applyAlignment="1">
      <alignment vertical="center" wrapText="1"/>
    </xf>
    <xf numFmtId="4" fontId="33" fillId="0" borderId="13" xfId="0" applyNumberFormat="1" applyFont="1" applyBorder="1" applyAlignment="1">
      <alignment horizontal="right" vertical="center"/>
    </xf>
    <xf numFmtId="4" fontId="33" fillId="0" borderId="14" xfId="0" applyNumberFormat="1" applyFont="1" applyBorder="1" applyAlignment="1">
      <alignment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4" fontId="32" fillId="0" borderId="15" xfId="0" applyNumberFormat="1" applyFont="1" applyFill="1" applyBorder="1" applyAlignment="1">
      <alignment horizontal="right" vertical="center" wrapText="1"/>
    </xf>
    <xf numFmtId="4" fontId="32" fillId="0" borderId="14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vertical="center"/>
    </xf>
    <xf numFmtId="4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0" fontId="6" fillId="0" borderId="13" xfId="0" applyFont="1" applyBorder="1"/>
    <xf numFmtId="165" fontId="6" fillId="0" borderId="11" xfId="0" applyNumberFormat="1" applyFont="1" applyBorder="1"/>
    <xf numFmtId="4" fontId="35" fillId="20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10" fillId="22" borderId="11" xfId="0" applyFont="1" applyFill="1" applyBorder="1" applyAlignment="1">
      <alignment horizontal="center" vertical="top" wrapText="1"/>
    </xf>
    <xf numFmtId="0" fontId="10" fillId="20" borderId="10" xfId="0" applyFont="1" applyFill="1" applyBorder="1" applyAlignment="1">
      <alignment horizontal="left" vertical="top" wrapText="1"/>
    </xf>
    <xf numFmtId="0" fontId="7" fillId="22" borderId="10" xfId="0" applyFont="1" applyFill="1" applyBorder="1" applyAlignment="1">
      <alignment vertical="center" wrapText="1"/>
    </xf>
    <xf numFmtId="0" fontId="7" fillId="20" borderId="10" xfId="0" applyFont="1" applyFill="1" applyBorder="1" applyAlignment="1">
      <alignment horizontal="left" vertical="center" wrapText="1" indent="1"/>
    </xf>
    <xf numFmtId="0" fontId="7" fillId="22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2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1" borderId="10" xfId="0" applyFont="1" applyFill="1" applyBorder="1" applyAlignment="1">
      <alignment horizontal="left" vertical="center" wrapText="1" indent="3"/>
    </xf>
    <xf numFmtId="0" fontId="7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4" fillId="0" borderId="10" xfId="0" applyFont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0" borderId="10" xfId="44" applyFont="1" applyFill="1" applyBorder="1" applyAlignment="1">
      <alignment horizontal="left" vertical="center" wrapText="1" indent="1"/>
    </xf>
    <xf numFmtId="4" fontId="33" fillId="22" borderId="17" xfId="0" applyNumberFormat="1" applyFont="1" applyFill="1" applyBorder="1" applyAlignment="1">
      <alignment horizontal="right" vertical="center" wrapText="1"/>
    </xf>
    <xf numFmtId="4" fontId="33" fillId="0" borderId="17" xfId="0" applyNumberFormat="1" applyFont="1" applyFill="1" applyBorder="1" applyAlignment="1">
      <alignment horizontal="right" vertical="center" wrapText="1"/>
    </xf>
    <xf numFmtId="0" fontId="7" fillId="22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right"/>
    </xf>
    <xf numFmtId="0" fontId="10" fillId="0" borderId="0" xfId="44" applyFont="1" applyFill="1" applyBorder="1" applyAlignment="1">
      <alignment horizontal="left" vertical="center"/>
    </xf>
    <xf numFmtId="4" fontId="32" fillId="22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37" fillId="0" borderId="10" xfId="45" applyFont="1" applyBorder="1" applyAlignment="1">
      <alignment horizontal="left" vertical="center" wrapText="1" indent="1"/>
    </xf>
    <xf numFmtId="0" fontId="6" fillId="19" borderId="12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/>
    </xf>
    <xf numFmtId="165" fontId="6" fillId="0" borderId="17" xfId="0" applyNumberFormat="1" applyFont="1" applyBorder="1" applyAlignment="1">
      <alignment horizontal="center"/>
    </xf>
    <xf numFmtId="0" fontId="6" fillId="19" borderId="14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Dziesiętny 3 2" xfId="30"/>
    <cellStyle name="Dziesiętny 3 3" xfId="31"/>
    <cellStyle name="Dziesiętny 3 4" xfId="32"/>
    <cellStyle name="Dziesiętny 4" xfId="33"/>
    <cellStyle name="Dziesiętny 5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ny" xfId="0" builtinId="0"/>
    <cellStyle name="Normalny 2" xfId="44"/>
    <cellStyle name="Normalny 2 2" xfId="45"/>
    <cellStyle name="Note" xfId="46"/>
    <cellStyle name="Output" xfId="47"/>
    <cellStyle name="Title" xfId="48"/>
    <cellStyle name="Total" xfId="49"/>
    <cellStyle name="Warning Text" xfId="5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06"/>
  <sheetViews>
    <sheetView tabSelected="1" topLeftCell="B1" zoomScaleNormal="100" workbookViewId="0">
      <selection activeCell="B2" sqref="B2:B3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7109375" style="1" customWidth="1"/>
    <col min="5" max="9" width="14.7109375" style="1" customWidth="1" outlineLevel="1"/>
    <col min="10" max="10" width="9.7109375" style="1" customWidth="1"/>
    <col min="11" max="11" width="7.42578125" style="1" customWidth="1"/>
    <col min="12" max="12" width="9.140625" style="1" customWidth="1"/>
    <col min="13" max="13" width="8.140625" style="1" hidden="1" customWidth="1"/>
    <col min="14" max="16384" width="9.140625" style="1"/>
  </cols>
  <sheetData>
    <row r="1" spans="2:13" ht="20.100000000000001" customHeight="1" x14ac:dyDescent="0.2">
      <c r="B1" s="117" t="str">
        <f>CONCATENATE("Informacja z wykonania budżetów powiatów za ",$D$103," ",$C$104," rok     ",$C$106,"")</f>
        <v xml:space="preserve">Informacja z wykonania budżetów powiatów za I Kwartał 2023 rok     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2:13" ht="57.75" customHeight="1" x14ac:dyDescent="0.2">
      <c r="B2" s="160" t="s">
        <v>0</v>
      </c>
      <c r="C2" s="14" t="s">
        <v>26</v>
      </c>
      <c r="D2" s="14" t="s">
        <v>27</v>
      </c>
      <c r="E2" s="14" t="s">
        <v>86</v>
      </c>
      <c r="F2" s="14" t="s">
        <v>87</v>
      </c>
      <c r="G2" s="14" t="s">
        <v>88</v>
      </c>
      <c r="H2" s="14" t="s">
        <v>89</v>
      </c>
      <c r="I2" s="14" t="s">
        <v>90</v>
      </c>
      <c r="J2" s="16" t="s">
        <v>2</v>
      </c>
      <c r="K2" s="14" t="s">
        <v>18</v>
      </c>
      <c r="L2" s="14" t="s">
        <v>3</v>
      </c>
    </row>
    <row r="3" spans="2:13" x14ac:dyDescent="0.2">
      <c r="B3" s="160"/>
      <c r="C3" s="151" t="s">
        <v>59</v>
      </c>
      <c r="D3" s="152"/>
      <c r="E3" s="154" t="s">
        <v>85</v>
      </c>
      <c r="F3" s="155"/>
      <c r="G3" s="155"/>
      <c r="H3" s="155"/>
      <c r="I3" s="156"/>
      <c r="J3" s="151" t="s">
        <v>4</v>
      </c>
      <c r="K3" s="153"/>
      <c r="L3" s="152"/>
    </row>
    <row r="4" spans="2:13" ht="9" customHeight="1" x14ac:dyDescent="0.2">
      <c r="B4" s="16">
        <v>1</v>
      </c>
      <c r="C4" s="18">
        <v>2</v>
      </c>
      <c r="D4" s="18">
        <v>3</v>
      </c>
      <c r="E4" s="157"/>
      <c r="F4" s="158"/>
      <c r="G4" s="158"/>
      <c r="H4" s="158"/>
      <c r="I4" s="159"/>
      <c r="J4" s="18">
        <v>4</v>
      </c>
      <c r="K4" s="18">
        <v>5</v>
      </c>
      <c r="L4" s="18">
        <v>6</v>
      </c>
    </row>
    <row r="5" spans="2:13" ht="12.95" customHeight="1" x14ac:dyDescent="0.2">
      <c r="B5" s="106" t="s">
        <v>5</v>
      </c>
      <c r="C5" s="54">
        <f>42139889775.59</f>
        <v>42139889775.589996</v>
      </c>
      <c r="D5" s="54">
        <f>11292056480.81</f>
        <v>11292056480.809999</v>
      </c>
      <c r="E5" s="97" t="s">
        <v>85</v>
      </c>
      <c r="F5" s="97" t="s">
        <v>85</v>
      </c>
      <c r="G5" s="97" t="s">
        <v>85</v>
      </c>
      <c r="H5" s="97" t="s">
        <v>85</v>
      </c>
      <c r="I5" s="97" t="s">
        <v>85</v>
      </c>
      <c r="J5" s="55">
        <f t="shared" ref="J5:J39" si="0">IF($D$5=0,"",100*$D5/$D$5)</f>
        <v>100</v>
      </c>
      <c r="K5" s="55">
        <f t="shared" ref="K5:K42" si="1">IF(C5=0,"",100*D5/C5)</f>
        <v>26.796597098246448</v>
      </c>
      <c r="L5" s="55"/>
    </row>
    <row r="6" spans="2:13" ht="26.85" customHeight="1" x14ac:dyDescent="0.2">
      <c r="B6" s="107" t="s">
        <v>41</v>
      </c>
      <c r="C6" s="30">
        <f>C5-C11-C35</f>
        <v>13606013099.999996</v>
      </c>
      <c r="D6" s="30">
        <f>D5-D11-D35</f>
        <v>3333279346.6099987</v>
      </c>
      <c r="E6" s="97" t="s">
        <v>85</v>
      </c>
      <c r="F6" s="97" t="s">
        <v>85</v>
      </c>
      <c r="G6" s="97" t="s">
        <v>85</v>
      </c>
      <c r="H6" s="97" t="s">
        <v>85</v>
      </c>
      <c r="I6" s="97" t="s">
        <v>85</v>
      </c>
      <c r="J6" s="31">
        <f t="shared" si="0"/>
        <v>29.518798035368103</v>
      </c>
      <c r="K6" s="31">
        <f t="shared" si="1"/>
        <v>24.498575167548527</v>
      </c>
      <c r="L6" s="31">
        <f>IF($D$6=0,"",100*$D6/$D$6)</f>
        <v>100</v>
      </c>
    </row>
    <row r="7" spans="2:13" ht="22.5" outlineLevel="1" x14ac:dyDescent="0.2">
      <c r="B7" s="109" t="s">
        <v>19</v>
      </c>
      <c r="C7" s="32">
        <f>5782456106</f>
        <v>5782456106</v>
      </c>
      <c r="D7" s="32">
        <f>1445113575</f>
        <v>1445113575</v>
      </c>
      <c r="E7" s="97" t="s">
        <v>85</v>
      </c>
      <c r="F7" s="97" t="s">
        <v>85</v>
      </c>
      <c r="G7" s="97" t="s">
        <v>85</v>
      </c>
      <c r="H7" s="97" t="s">
        <v>85</v>
      </c>
      <c r="I7" s="97" t="s">
        <v>85</v>
      </c>
      <c r="J7" s="33">
        <f t="shared" si="0"/>
        <v>12.797611997919615</v>
      </c>
      <c r="K7" s="33">
        <f t="shared" si="1"/>
        <v>24.991345347187664</v>
      </c>
      <c r="L7" s="33">
        <f>IF($D$6=0,"",100*$D7/$D$6)</f>
        <v>43.354109413893106</v>
      </c>
    </row>
    <row r="8" spans="2:13" ht="22.5" outlineLevel="1" x14ac:dyDescent="0.2">
      <c r="B8" s="109" t="s">
        <v>25</v>
      </c>
      <c r="C8" s="32">
        <f>475133231</f>
        <v>475133231</v>
      </c>
      <c r="D8" s="32">
        <f>118704689</f>
        <v>118704689</v>
      </c>
      <c r="E8" s="97" t="s">
        <v>85</v>
      </c>
      <c r="F8" s="97" t="s">
        <v>85</v>
      </c>
      <c r="G8" s="97" t="s">
        <v>85</v>
      </c>
      <c r="H8" s="97" t="s">
        <v>85</v>
      </c>
      <c r="I8" s="97" t="s">
        <v>85</v>
      </c>
      <c r="J8" s="33">
        <f t="shared" si="0"/>
        <v>1.0512229477573876</v>
      </c>
      <c r="K8" s="33">
        <f t="shared" si="1"/>
        <v>24.983453325326344</v>
      </c>
      <c r="L8" s="33">
        <f>IF($D$6=0,"",100*$D8/$D$6)</f>
        <v>3.5611983472289737</v>
      </c>
    </row>
    <row r="9" spans="2:13" ht="12.95" customHeight="1" outlineLevel="1" x14ac:dyDescent="0.2">
      <c r="B9" s="109" t="s">
        <v>20</v>
      </c>
      <c r="C9" s="32">
        <f>514315182.52</f>
        <v>514315182.51999998</v>
      </c>
      <c r="D9" s="56">
        <f>78709721.7899999</f>
        <v>78709721.789999902</v>
      </c>
      <c r="E9" s="97" t="s">
        <v>85</v>
      </c>
      <c r="F9" s="97" t="s">
        <v>85</v>
      </c>
      <c r="G9" s="97" t="s">
        <v>85</v>
      </c>
      <c r="H9" s="97" t="s">
        <v>85</v>
      </c>
      <c r="I9" s="97" t="s">
        <v>85</v>
      </c>
      <c r="J9" s="33">
        <f t="shared" si="0"/>
        <v>0.69703620349190742</v>
      </c>
      <c r="K9" s="33">
        <f t="shared" si="1"/>
        <v>15.3037912286284</v>
      </c>
      <c r="L9" s="33">
        <f>IF($D$6=0,"",100*$D9/$D$6)</f>
        <v>2.3613298978391661</v>
      </c>
    </row>
    <row r="10" spans="2:13" ht="12.95" customHeight="1" outlineLevel="1" x14ac:dyDescent="0.2">
      <c r="B10" s="109" t="s">
        <v>21</v>
      </c>
      <c r="C10" s="32">
        <f>C6-C8-C7-C9</f>
        <v>6834108580.4799957</v>
      </c>
      <c r="D10" s="32">
        <f>D6-D8-D7-D9</f>
        <v>1690751360.8199987</v>
      </c>
      <c r="E10" s="97" t="s">
        <v>85</v>
      </c>
      <c r="F10" s="97" t="s">
        <v>85</v>
      </c>
      <c r="G10" s="97" t="s">
        <v>85</v>
      </c>
      <c r="H10" s="97" t="s">
        <v>85</v>
      </c>
      <c r="I10" s="97" t="s">
        <v>85</v>
      </c>
      <c r="J10" s="33">
        <f t="shared" si="0"/>
        <v>14.972926886199193</v>
      </c>
      <c r="K10" s="33">
        <f t="shared" si="1"/>
        <v>24.7398960802178</v>
      </c>
      <c r="L10" s="33">
        <f>IF($D$6=0,"",100*$D10/$D$6)</f>
        <v>50.723362341038758</v>
      </c>
    </row>
    <row r="11" spans="2:13" ht="26.85" customHeight="1" x14ac:dyDescent="0.2">
      <c r="B11" s="108" t="s">
        <v>91</v>
      </c>
      <c r="C11" s="54">
        <f>C12+C31+C33</f>
        <v>12354249450.59</v>
      </c>
      <c r="D11" s="54">
        <f>D12+D31+D33</f>
        <v>2228430272.2000003</v>
      </c>
      <c r="E11" s="97" t="s">
        <v>85</v>
      </c>
      <c r="F11" s="97" t="s">
        <v>85</v>
      </c>
      <c r="G11" s="97" t="s">
        <v>85</v>
      </c>
      <c r="H11" s="97" t="s">
        <v>85</v>
      </c>
      <c r="I11" s="97" t="s">
        <v>85</v>
      </c>
      <c r="J11" s="55">
        <f t="shared" si="0"/>
        <v>19.73449456250108</v>
      </c>
      <c r="K11" s="55">
        <f t="shared" si="1"/>
        <v>18.037763290375988</v>
      </c>
      <c r="L11" s="57"/>
    </row>
    <row r="12" spans="2:13" ht="26.85" customHeight="1" outlineLevel="1" x14ac:dyDescent="0.2">
      <c r="B12" s="110" t="s">
        <v>42</v>
      </c>
      <c r="C12" s="54">
        <f>C13+C15+C17+C19+C21+C23+C25+C27+C29</f>
        <v>11046165874.440001</v>
      </c>
      <c r="D12" s="54">
        <f>D13+D15+D17+D19+D21+D23+D25+D27+D29</f>
        <v>2010352966.5900002</v>
      </c>
      <c r="E12" s="97" t="s">
        <v>85</v>
      </c>
      <c r="F12" s="97" t="s">
        <v>85</v>
      </c>
      <c r="G12" s="97" t="s">
        <v>85</v>
      </c>
      <c r="H12" s="97" t="s">
        <v>85</v>
      </c>
      <c r="I12" s="97" t="s">
        <v>85</v>
      </c>
      <c r="J12" s="55">
        <f t="shared" si="0"/>
        <v>17.803249301900355</v>
      </c>
      <c r="K12" s="55">
        <f t="shared" si="1"/>
        <v>18.199554392368903</v>
      </c>
      <c r="L12" s="36"/>
    </row>
    <row r="13" spans="2:13" ht="22.5" outlineLevel="1" x14ac:dyDescent="0.2">
      <c r="B13" s="111" t="s">
        <v>9</v>
      </c>
      <c r="C13" s="32">
        <f>2916129068.62</f>
        <v>2916129068.6199999</v>
      </c>
      <c r="D13" s="32">
        <f>997358541.02</f>
        <v>997358541.01999998</v>
      </c>
      <c r="E13" s="97" t="s">
        <v>85</v>
      </c>
      <c r="F13" s="97" t="s">
        <v>85</v>
      </c>
      <c r="G13" s="97" t="s">
        <v>85</v>
      </c>
      <c r="H13" s="97" t="s">
        <v>85</v>
      </c>
      <c r="I13" s="97" t="s">
        <v>85</v>
      </c>
      <c r="J13" s="33">
        <f t="shared" si="0"/>
        <v>8.8323906519147855</v>
      </c>
      <c r="K13" s="33">
        <f t="shared" si="1"/>
        <v>34.20145396691855</v>
      </c>
      <c r="L13" s="36"/>
    </row>
    <row r="14" spans="2:13" ht="12.95" customHeight="1" outlineLevel="1" x14ac:dyDescent="0.2">
      <c r="B14" s="114" t="s">
        <v>6</v>
      </c>
      <c r="C14" s="32">
        <f>84888472.73</f>
        <v>84888472.730000004</v>
      </c>
      <c r="D14" s="32">
        <f>1168012.33</f>
        <v>1168012.33</v>
      </c>
      <c r="E14" s="97" t="s">
        <v>85</v>
      </c>
      <c r="F14" s="97" t="s">
        <v>85</v>
      </c>
      <c r="G14" s="97" t="s">
        <v>85</v>
      </c>
      <c r="H14" s="97" t="s">
        <v>85</v>
      </c>
      <c r="I14" s="97" t="s">
        <v>85</v>
      </c>
      <c r="J14" s="33">
        <f t="shared" si="0"/>
        <v>1.0343663547777583E-2</v>
      </c>
      <c r="K14" s="33">
        <f t="shared" si="1"/>
        <v>1.3759375006251215</v>
      </c>
      <c r="L14" s="36"/>
    </row>
    <row r="15" spans="2:13" ht="12.95" customHeight="1" outlineLevel="1" x14ac:dyDescent="0.2">
      <c r="B15" s="111" t="s">
        <v>7</v>
      </c>
      <c r="C15" s="32">
        <f>780296483.59</f>
        <v>780296483.59000003</v>
      </c>
      <c r="D15" s="32">
        <f>170777596.86</f>
        <v>170777596.86000001</v>
      </c>
      <c r="E15" s="97" t="s">
        <v>85</v>
      </c>
      <c r="F15" s="97" t="s">
        <v>85</v>
      </c>
      <c r="G15" s="97" t="s">
        <v>85</v>
      </c>
      <c r="H15" s="97" t="s">
        <v>85</v>
      </c>
      <c r="I15" s="97" t="s">
        <v>85</v>
      </c>
      <c r="J15" s="33">
        <f t="shared" si="0"/>
        <v>1.5123693115618373</v>
      </c>
      <c r="K15" s="33">
        <f t="shared" si="1"/>
        <v>21.886244581583121</v>
      </c>
      <c r="L15" s="36"/>
    </row>
    <row r="16" spans="2:13" ht="12.95" customHeight="1" outlineLevel="1" x14ac:dyDescent="0.2">
      <c r="B16" s="114" t="s">
        <v>6</v>
      </c>
      <c r="C16" s="32">
        <f>114340931.59</f>
        <v>114340931.59</v>
      </c>
      <c r="D16" s="32">
        <f>1780005.89</f>
        <v>1780005.89</v>
      </c>
      <c r="E16" s="97" t="s">
        <v>85</v>
      </c>
      <c r="F16" s="97" t="s">
        <v>85</v>
      </c>
      <c r="G16" s="97" t="s">
        <v>85</v>
      </c>
      <c r="H16" s="97" t="s">
        <v>85</v>
      </c>
      <c r="I16" s="97" t="s">
        <v>85</v>
      </c>
      <c r="J16" s="33">
        <f t="shared" si="0"/>
        <v>1.5763345614016242E-2</v>
      </c>
      <c r="K16" s="33">
        <f t="shared" si="1"/>
        <v>1.5567530063360751</v>
      </c>
      <c r="L16" s="36"/>
    </row>
    <row r="17" spans="2:12" ht="33.75" outlineLevel="1" x14ac:dyDescent="0.2">
      <c r="B17" s="111" t="s">
        <v>10</v>
      </c>
      <c r="C17" s="32">
        <f>87185658.97</f>
        <v>87185658.969999999</v>
      </c>
      <c r="D17" s="32">
        <f>6948551.66</f>
        <v>6948551.6600000001</v>
      </c>
      <c r="E17" s="97" t="s">
        <v>85</v>
      </c>
      <c r="F17" s="97" t="s">
        <v>85</v>
      </c>
      <c r="G17" s="97" t="s">
        <v>85</v>
      </c>
      <c r="H17" s="97" t="s">
        <v>85</v>
      </c>
      <c r="I17" s="97" t="s">
        <v>85</v>
      </c>
      <c r="J17" s="33">
        <f t="shared" si="0"/>
        <v>6.1534864546670849E-2</v>
      </c>
      <c r="K17" s="33">
        <f t="shared" si="1"/>
        <v>7.9698332754369039</v>
      </c>
      <c r="L17" s="36"/>
    </row>
    <row r="18" spans="2:12" ht="12.95" customHeight="1" outlineLevel="1" x14ac:dyDescent="0.2">
      <c r="B18" s="114" t="s">
        <v>6</v>
      </c>
      <c r="C18" s="32">
        <f>168000</f>
        <v>168000</v>
      </c>
      <c r="D18" s="32">
        <f>0</f>
        <v>0</v>
      </c>
      <c r="E18" s="97" t="s">
        <v>85</v>
      </c>
      <c r="F18" s="97" t="s">
        <v>85</v>
      </c>
      <c r="G18" s="97" t="s">
        <v>85</v>
      </c>
      <c r="H18" s="97" t="s">
        <v>85</v>
      </c>
      <c r="I18" s="97" t="s">
        <v>85</v>
      </c>
      <c r="J18" s="33">
        <f t="shared" si="0"/>
        <v>0</v>
      </c>
      <c r="K18" s="33">
        <f t="shared" si="1"/>
        <v>0</v>
      </c>
      <c r="L18" s="36"/>
    </row>
    <row r="19" spans="2:12" ht="25.5" customHeight="1" outlineLevel="1" x14ac:dyDescent="0.2">
      <c r="B19" s="111" t="s">
        <v>11</v>
      </c>
      <c r="C19" s="32">
        <f>413759249.93</f>
        <v>413759249.93000001</v>
      </c>
      <c r="D19" s="32">
        <f>91075356.5</f>
        <v>91075356.5</v>
      </c>
      <c r="E19" s="97" t="s">
        <v>85</v>
      </c>
      <c r="F19" s="97" t="s">
        <v>85</v>
      </c>
      <c r="G19" s="97" t="s">
        <v>85</v>
      </c>
      <c r="H19" s="97" t="s">
        <v>85</v>
      </c>
      <c r="I19" s="97" t="s">
        <v>85</v>
      </c>
      <c r="J19" s="33">
        <f t="shared" si="0"/>
        <v>0.80654357915031438</v>
      </c>
      <c r="K19" s="33">
        <f t="shared" si="1"/>
        <v>22.01167865501694</v>
      </c>
      <c r="L19" s="36"/>
    </row>
    <row r="20" spans="2:12" ht="12.95" customHeight="1" outlineLevel="1" x14ac:dyDescent="0.2">
      <c r="B20" s="114" t="s">
        <v>6</v>
      </c>
      <c r="C20" s="32">
        <f>61424077.8</f>
        <v>61424077.799999997</v>
      </c>
      <c r="D20" s="32">
        <f>2389899.58</f>
        <v>2389899.58</v>
      </c>
      <c r="E20" s="97" t="s">
        <v>85</v>
      </c>
      <c r="F20" s="97" t="s">
        <v>85</v>
      </c>
      <c r="G20" s="97" t="s">
        <v>85</v>
      </c>
      <c r="H20" s="97" t="s">
        <v>85</v>
      </c>
      <c r="I20" s="97" t="s">
        <v>85</v>
      </c>
      <c r="J20" s="33">
        <f t="shared" si="0"/>
        <v>2.116443168754473E-2</v>
      </c>
      <c r="K20" s="33">
        <f t="shared" si="1"/>
        <v>3.8908188215403703</v>
      </c>
      <c r="L20" s="36"/>
    </row>
    <row r="21" spans="2:12" ht="35.25" customHeight="1" outlineLevel="1" x14ac:dyDescent="0.2">
      <c r="B21" s="111" t="s">
        <v>60</v>
      </c>
      <c r="C21" s="32">
        <f>903922350.56</f>
        <v>903922350.55999994</v>
      </c>
      <c r="D21" s="32">
        <f>114167156.01</f>
        <v>114167156.01000001</v>
      </c>
      <c r="E21" s="97" t="s">
        <v>85</v>
      </c>
      <c r="F21" s="97" t="s">
        <v>85</v>
      </c>
      <c r="G21" s="97" t="s">
        <v>85</v>
      </c>
      <c r="H21" s="97" t="s">
        <v>85</v>
      </c>
      <c r="I21" s="97" t="s">
        <v>85</v>
      </c>
      <c r="J21" s="33">
        <f t="shared" si="0"/>
        <v>1.0110395409730593</v>
      </c>
      <c r="K21" s="33">
        <f t="shared" si="1"/>
        <v>12.63019505373121</v>
      </c>
      <c r="L21" s="36"/>
    </row>
    <row r="22" spans="2:12" ht="12.95" customHeight="1" outlineLevel="1" x14ac:dyDescent="0.2">
      <c r="B22" s="114" t="s">
        <v>6</v>
      </c>
      <c r="C22" s="32">
        <f>784717678.52</f>
        <v>784717678.51999998</v>
      </c>
      <c r="D22" s="32">
        <f>83112407.17</f>
        <v>83112407.170000002</v>
      </c>
      <c r="E22" s="97" t="s">
        <v>85</v>
      </c>
      <c r="F22" s="97" t="s">
        <v>85</v>
      </c>
      <c r="G22" s="97" t="s">
        <v>85</v>
      </c>
      <c r="H22" s="97" t="s">
        <v>85</v>
      </c>
      <c r="I22" s="97" t="s">
        <v>85</v>
      </c>
      <c r="J22" s="33">
        <f t="shared" si="0"/>
        <v>0.73602542912571578</v>
      </c>
      <c r="K22" s="33">
        <f t="shared" si="1"/>
        <v>10.591376930204042</v>
      </c>
      <c r="L22" s="36"/>
    </row>
    <row r="23" spans="2:12" ht="12.95" customHeight="1" outlineLevel="1" x14ac:dyDescent="0.2">
      <c r="B23" s="111" t="s">
        <v>8</v>
      </c>
      <c r="C23" s="32">
        <f>68302339.33</f>
        <v>68302339.329999998</v>
      </c>
      <c r="D23" s="32">
        <f>10853495.96</f>
        <v>10853495.960000001</v>
      </c>
      <c r="E23" s="97" t="s">
        <v>85</v>
      </c>
      <c r="F23" s="97" t="s">
        <v>85</v>
      </c>
      <c r="G23" s="97" t="s">
        <v>85</v>
      </c>
      <c r="H23" s="97" t="s">
        <v>85</v>
      </c>
      <c r="I23" s="97" t="s">
        <v>85</v>
      </c>
      <c r="J23" s="33">
        <f t="shared" si="0"/>
        <v>9.6116203265939198E-2</v>
      </c>
      <c r="K23" s="33">
        <f t="shared" si="1"/>
        <v>15.890372228045912</v>
      </c>
      <c r="L23" s="36"/>
    </row>
    <row r="24" spans="2:12" ht="12.95" customHeight="1" outlineLevel="1" x14ac:dyDescent="0.2">
      <c r="B24" s="114" t="s">
        <v>6</v>
      </c>
      <c r="C24" s="32">
        <f>53087108.11</f>
        <v>53087108.109999999</v>
      </c>
      <c r="D24" s="32">
        <f>5326105.06</f>
        <v>5326105.0599999996</v>
      </c>
      <c r="E24" s="97" t="s">
        <v>85</v>
      </c>
      <c r="F24" s="97" t="s">
        <v>85</v>
      </c>
      <c r="G24" s="97" t="s">
        <v>85</v>
      </c>
      <c r="H24" s="97" t="s">
        <v>85</v>
      </c>
      <c r="I24" s="97" t="s">
        <v>85</v>
      </c>
      <c r="J24" s="33">
        <f t="shared" si="0"/>
        <v>4.7166829789164748E-2</v>
      </c>
      <c r="K24" s="33">
        <f t="shared" si="1"/>
        <v>10.032765486045985</v>
      </c>
      <c r="L24" s="36"/>
    </row>
    <row r="25" spans="2:12" ht="67.5" outlineLevel="1" x14ac:dyDescent="0.2">
      <c r="B25" s="111" t="s">
        <v>76</v>
      </c>
      <c r="C25" s="32">
        <f>500000</f>
        <v>500000</v>
      </c>
      <c r="D25" s="32">
        <f>0</f>
        <v>0</v>
      </c>
      <c r="E25" s="97" t="s">
        <v>85</v>
      </c>
      <c r="F25" s="97" t="s">
        <v>85</v>
      </c>
      <c r="G25" s="97" t="s">
        <v>85</v>
      </c>
      <c r="H25" s="97" t="s">
        <v>85</v>
      </c>
      <c r="I25" s="97" t="s">
        <v>85</v>
      </c>
      <c r="J25" s="33">
        <f t="shared" si="0"/>
        <v>0</v>
      </c>
      <c r="K25" s="33">
        <f t="shared" si="1"/>
        <v>0</v>
      </c>
      <c r="L25" s="36"/>
    </row>
    <row r="26" spans="2:12" ht="12.95" customHeight="1" outlineLevel="1" x14ac:dyDescent="0.2">
      <c r="B26" s="114" t="s">
        <v>77</v>
      </c>
      <c r="C26" s="32">
        <f>500000</f>
        <v>500000</v>
      </c>
      <c r="D26" s="32">
        <f>0</f>
        <v>0</v>
      </c>
      <c r="E26" s="97" t="s">
        <v>85</v>
      </c>
      <c r="F26" s="97" t="s">
        <v>85</v>
      </c>
      <c r="G26" s="97" t="s">
        <v>85</v>
      </c>
      <c r="H26" s="97" t="s">
        <v>85</v>
      </c>
      <c r="I26" s="97" t="s">
        <v>85</v>
      </c>
      <c r="J26" s="33">
        <f t="shared" si="0"/>
        <v>0</v>
      </c>
      <c r="K26" s="33">
        <f t="shared" si="1"/>
        <v>0</v>
      </c>
      <c r="L26" s="36"/>
    </row>
    <row r="27" spans="2:12" ht="45" outlineLevel="1" x14ac:dyDescent="0.2">
      <c r="B27" s="112" t="s">
        <v>75</v>
      </c>
      <c r="C27" s="69">
        <f>5474565052.7</f>
        <v>5474565052.6999998</v>
      </c>
      <c r="D27" s="69">
        <f>343244934.3</f>
        <v>343244934.30000001</v>
      </c>
      <c r="E27" s="97" t="s">
        <v>85</v>
      </c>
      <c r="F27" s="97" t="s">
        <v>85</v>
      </c>
      <c r="G27" s="97" t="s">
        <v>85</v>
      </c>
      <c r="H27" s="97" t="s">
        <v>85</v>
      </c>
      <c r="I27" s="97" t="s">
        <v>85</v>
      </c>
      <c r="J27" s="70">
        <f t="shared" si="0"/>
        <v>3.0397025987544337</v>
      </c>
      <c r="K27" s="70">
        <f t="shared" si="1"/>
        <v>6.269811957585838</v>
      </c>
      <c r="L27" s="36"/>
    </row>
    <row r="28" spans="2:12" ht="12.95" customHeight="1" outlineLevel="1" x14ac:dyDescent="0.2">
      <c r="B28" s="114" t="s">
        <v>6</v>
      </c>
      <c r="C28" s="32">
        <f>5455480822.85</f>
        <v>5455480822.8500004</v>
      </c>
      <c r="D28" s="32">
        <f>343244934.3</f>
        <v>343244934.30000001</v>
      </c>
      <c r="E28" s="97" t="s">
        <v>85</v>
      </c>
      <c r="F28" s="97" t="s">
        <v>85</v>
      </c>
      <c r="G28" s="97" t="s">
        <v>85</v>
      </c>
      <c r="H28" s="97" t="s">
        <v>85</v>
      </c>
      <c r="I28" s="97" t="s">
        <v>85</v>
      </c>
      <c r="J28" s="33">
        <f t="shared" si="0"/>
        <v>3.0397025987544337</v>
      </c>
      <c r="K28" s="33">
        <f t="shared" si="1"/>
        <v>6.2917448607341129</v>
      </c>
      <c r="L28" s="36"/>
    </row>
    <row r="29" spans="2:12" ht="22.5" outlineLevel="1" x14ac:dyDescent="0.2">
      <c r="B29" s="112" t="s">
        <v>94</v>
      </c>
      <c r="C29" s="32">
        <f>401505670.74</f>
        <v>401505670.74000001</v>
      </c>
      <c r="D29" s="32">
        <f>275927334.28</f>
        <v>275927334.27999997</v>
      </c>
      <c r="E29" s="97" t="s">
        <v>85</v>
      </c>
      <c r="F29" s="97" t="s">
        <v>85</v>
      </c>
      <c r="G29" s="97" t="s">
        <v>85</v>
      </c>
      <c r="H29" s="97" t="s">
        <v>85</v>
      </c>
      <c r="I29" s="97" t="s">
        <v>85</v>
      </c>
      <c r="J29" s="33">
        <f t="shared" si="0"/>
        <v>2.4435525517333154</v>
      </c>
      <c r="K29" s="33">
        <f t="shared" si="1"/>
        <v>68.723147489162145</v>
      </c>
      <c r="L29" s="36"/>
    </row>
    <row r="30" spans="2:12" ht="12.95" customHeight="1" outlineLevel="1" x14ac:dyDescent="0.2">
      <c r="B30" s="114" t="s">
        <v>6</v>
      </c>
      <c r="C30" s="32">
        <f>0</f>
        <v>0</v>
      </c>
      <c r="D30" s="32">
        <f>0</f>
        <v>0</v>
      </c>
      <c r="E30" s="97" t="s">
        <v>85</v>
      </c>
      <c r="F30" s="97" t="s">
        <v>85</v>
      </c>
      <c r="G30" s="97" t="s">
        <v>85</v>
      </c>
      <c r="H30" s="97" t="s">
        <v>85</v>
      </c>
      <c r="I30" s="97" t="s">
        <v>85</v>
      </c>
      <c r="J30" s="33">
        <f t="shared" si="0"/>
        <v>0</v>
      </c>
      <c r="K30" s="33" t="str">
        <f t="shared" si="1"/>
        <v/>
      </c>
      <c r="L30" s="36"/>
    </row>
    <row r="31" spans="2:12" ht="12.95" customHeight="1" outlineLevel="1" x14ac:dyDescent="0.2">
      <c r="B31" s="113" t="s">
        <v>67</v>
      </c>
      <c r="C31" s="30">
        <f>99840897.68</f>
        <v>99840897.680000007</v>
      </c>
      <c r="D31" s="30">
        <f>34254313.26</f>
        <v>34254313.259999998</v>
      </c>
      <c r="E31" s="97" t="s">
        <v>85</v>
      </c>
      <c r="F31" s="97" t="s">
        <v>85</v>
      </c>
      <c r="G31" s="97" t="s">
        <v>85</v>
      </c>
      <c r="H31" s="97" t="s">
        <v>85</v>
      </c>
      <c r="I31" s="97" t="s">
        <v>85</v>
      </c>
      <c r="J31" s="34">
        <f t="shared" si="0"/>
        <v>0.30334875953031787</v>
      </c>
      <c r="K31" s="34">
        <f t="shared" si="1"/>
        <v>34.308899515094986</v>
      </c>
      <c r="L31" s="21"/>
    </row>
    <row r="32" spans="2:12" ht="12.95" customHeight="1" outlineLevel="1" x14ac:dyDescent="0.2">
      <c r="B32" s="115" t="s">
        <v>53</v>
      </c>
      <c r="C32" s="35">
        <f>52060833.5</f>
        <v>52060833.5</v>
      </c>
      <c r="D32" s="35">
        <f>9615806.11</f>
        <v>9615806.1099999994</v>
      </c>
      <c r="E32" s="97" t="s">
        <v>85</v>
      </c>
      <c r="F32" s="97" t="s">
        <v>85</v>
      </c>
      <c r="G32" s="97" t="s">
        <v>85</v>
      </c>
      <c r="H32" s="97" t="s">
        <v>85</v>
      </c>
      <c r="I32" s="97" t="s">
        <v>85</v>
      </c>
      <c r="J32" s="33">
        <f t="shared" si="0"/>
        <v>8.5155490732280154E-2</v>
      </c>
      <c r="K32" s="33">
        <f t="shared" si="1"/>
        <v>18.470326853295578</v>
      </c>
      <c r="L32" s="21"/>
    </row>
    <row r="33" spans="1:26" ht="12.95" customHeight="1" outlineLevel="1" x14ac:dyDescent="0.2">
      <c r="B33" s="113" t="s">
        <v>68</v>
      </c>
      <c r="C33" s="58">
        <f>1208242678.47</f>
        <v>1208242678.47</v>
      </c>
      <c r="D33" s="58">
        <f>183822992.35</f>
        <v>183822992.34999999</v>
      </c>
      <c r="E33" s="97" t="s">
        <v>85</v>
      </c>
      <c r="F33" s="97" t="s">
        <v>85</v>
      </c>
      <c r="G33" s="97" t="s">
        <v>85</v>
      </c>
      <c r="H33" s="97" t="s">
        <v>85</v>
      </c>
      <c r="I33" s="97" t="s">
        <v>85</v>
      </c>
      <c r="J33" s="59">
        <f t="shared" si="0"/>
        <v>1.6278965010704061</v>
      </c>
      <c r="K33" s="59">
        <f t="shared" si="1"/>
        <v>15.214078729843859</v>
      </c>
      <c r="L33" s="21"/>
    </row>
    <row r="34" spans="1:26" ht="12.95" customHeight="1" outlineLevel="1" x14ac:dyDescent="0.2">
      <c r="B34" s="115" t="s">
        <v>65</v>
      </c>
      <c r="C34" s="35">
        <f>854988120.22</f>
        <v>854988120.22000003</v>
      </c>
      <c r="D34" s="35">
        <f>64926914.97</f>
        <v>64926914.969999999</v>
      </c>
      <c r="E34" s="97" t="s">
        <v>85</v>
      </c>
      <c r="F34" s="97" t="s">
        <v>85</v>
      </c>
      <c r="G34" s="97" t="s">
        <v>85</v>
      </c>
      <c r="H34" s="97" t="s">
        <v>85</v>
      </c>
      <c r="I34" s="97" t="s">
        <v>85</v>
      </c>
      <c r="J34" s="33">
        <f t="shared" si="0"/>
        <v>0.57497865938182657</v>
      </c>
      <c r="K34" s="33">
        <f t="shared" si="1"/>
        <v>7.5938967378041964</v>
      </c>
      <c r="L34" s="21"/>
    </row>
    <row r="35" spans="1:26" s="5" customFormat="1" ht="26.85" customHeight="1" x14ac:dyDescent="0.2">
      <c r="B35" s="107" t="s">
        <v>43</v>
      </c>
      <c r="C35" s="30">
        <f>C36+C37+C38+C39</f>
        <v>16179627225</v>
      </c>
      <c r="D35" s="30">
        <f>D36+D37+D38+D39</f>
        <v>5730346862</v>
      </c>
      <c r="E35" s="97" t="s">
        <v>85</v>
      </c>
      <c r="F35" s="97" t="s">
        <v>85</v>
      </c>
      <c r="G35" s="97" t="s">
        <v>85</v>
      </c>
      <c r="H35" s="97" t="s">
        <v>85</v>
      </c>
      <c r="I35" s="97" t="s">
        <v>85</v>
      </c>
      <c r="J35" s="31">
        <f t="shared" si="0"/>
        <v>50.746707402130809</v>
      </c>
      <c r="K35" s="31">
        <f t="shared" si="1"/>
        <v>35.417051223193432</v>
      </c>
      <c r="L35" s="22"/>
    </row>
    <row r="36" spans="1:26" ht="12.95" customHeight="1" outlineLevel="1" x14ac:dyDescent="0.2">
      <c r="B36" s="109" t="s">
        <v>30</v>
      </c>
      <c r="C36" s="32">
        <f>12605651499</f>
        <v>12605651499</v>
      </c>
      <c r="D36" s="32">
        <f>4846010395</f>
        <v>4846010395</v>
      </c>
      <c r="E36" s="97" t="s">
        <v>85</v>
      </c>
      <c r="F36" s="97" t="s">
        <v>85</v>
      </c>
      <c r="G36" s="97" t="s">
        <v>85</v>
      </c>
      <c r="H36" s="97" t="s">
        <v>85</v>
      </c>
      <c r="I36" s="97" t="s">
        <v>85</v>
      </c>
      <c r="J36" s="33">
        <f t="shared" si="0"/>
        <v>42.915215693752771</v>
      </c>
      <c r="K36" s="33">
        <f t="shared" si="1"/>
        <v>38.443156987042137</v>
      </c>
      <c r="L36" s="21"/>
    </row>
    <row r="37" spans="1:26" ht="12.95" customHeight="1" outlineLevel="1" x14ac:dyDescent="0.2">
      <c r="B37" s="109" t="s">
        <v>29</v>
      </c>
      <c r="C37" s="32">
        <f>814136416</f>
        <v>814136416</v>
      </c>
      <c r="D37" s="32">
        <f>201967156</f>
        <v>201967156</v>
      </c>
      <c r="E37" s="97" t="s">
        <v>85</v>
      </c>
      <c r="F37" s="97" t="s">
        <v>85</v>
      </c>
      <c r="G37" s="97" t="s">
        <v>85</v>
      </c>
      <c r="H37" s="97" t="s">
        <v>85</v>
      </c>
      <c r="I37" s="97" t="s">
        <v>85</v>
      </c>
      <c r="J37" s="33">
        <f t="shared" si="0"/>
        <v>1.7885772741504435</v>
      </c>
      <c r="K37" s="33">
        <f t="shared" si="1"/>
        <v>24.807532500794068</v>
      </c>
      <c r="L37" s="21"/>
    </row>
    <row r="38" spans="1:26" ht="12.95" customHeight="1" outlineLevel="1" x14ac:dyDescent="0.2">
      <c r="B38" s="109" t="s">
        <v>31</v>
      </c>
      <c r="C38" s="32">
        <f>2729882806</f>
        <v>2729882806</v>
      </c>
      <c r="D38" s="32">
        <f>682369311</f>
        <v>682369311</v>
      </c>
      <c r="E38" s="97" t="s">
        <v>85</v>
      </c>
      <c r="F38" s="97" t="s">
        <v>85</v>
      </c>
      <c r="G38" s="97" t="s">
        <v>85</v>
      </c>
      <c r="H38" s="97" t="s">
        <v>85</v>
      </c>
      <c r="I38" s="97" t="s">
        <v>85</v>
      </c>
      <c r="J38" s="33">
        <f t="shared" si="0"/>
        <v>6.0429144342275949</v>
      </c>
      <c r="K38" s="33">
        <f t="shared" si="1"/>
        <v>24.996285902831538</v>
      </c>
      <c r="L38" s="21"/>
    </row>
    <row r="39" spans="1:26" s="5" customFormat="1" ht="12.95" customHeight="1" outlineLevel="1" x14ac:dyDescent="0.2">
      <c r="B39" s="109" t="s">
        <v>28</v>
      </c>
      <c r="C39" s="32">
        <f>29956504</f>
        <v>29956504</v>
      </c>
      <c r="D39" s="32">
        <f>0</f>
        <v>0</v>
      </c>
      <c r="E39" s="97" t="s">
        <v>85</v>
      </c>
      <c r="F39" s="97" t="s">
        <v>85</v>
      </c>
      <c r="G39" s="97" t="s">
        <v>85</v>
      </c>
      <c r="H39" s="97" t="s">
        <v>85</v>
      </c>
      <c r="I39" s="97" t="s">
        <v>85</v>
      </c>
      <c r="J39" s="33">
        <f t="shared" si="0"/>
        <v>0</v>
      </c>
      <c r="K39" s="33">
        <f t="shared" si="1"/>
        <v>0</v>
      </c>
      <c r="L39" s="22"/>
    </row>
    <row r="40" spans="1:26" s="5" customFormat="1" ht="12.95" customHeight="1" x14ac:dyDescent="0.2">
      <c r="B40" s="106" t="s">
        <v>5</v>
      </c>
      <c r="C40" s="58">
        <f>+C5</f>
        <v>42139889775.589996</v>
      </c>
      <c r="D40" s="58">
        <f>+D5</f>
        <v>11292056480.809999</v>
      </c>
      <c r="E40" s="97" t="s">
        <v>85</v>
      </c>
      <c r="F40" s="97" t="s">
        <v>85</v>
      </c>
      <c r="G40" s="97" t="s">
        <v>85</v>
      </c>
      <c r="H40" s="97" t="s">
        <v>85</v>
      </c>
      <c r="I40" s="97" t="s">
        <v>85</v>
      </c>
      <c r="J40" s="59">
        <f>IF($D$5=0,"",100*$D40/$D$40)</f>
        <v>100</v>
      </c>
      <c r="K40" s="59">
        <f t="shared" si="1"/>
        <v>26.796597098246448</v>
      </c>
    </row>
    <row r="41" spans="1:26" s="5" customFormat="1" ht="12.95" customHeight="1" x14ac:dyDescent="0.2">
      <c r="B41" s="116" t="s">
        <v>55</v>
      </c>
      <c r="C41" s="32">
        <f>9250648256.84999</f>
        <v>9250648256.8499908</v>
      </c>
      <c r="D41" s="32">
        <f>715414388.25</f>
        <v>715414388.25</v>
      </c>
      <c r="E41" s="97" t="s">
        <v>85</v>
      </c>
      <c r="F41" s="97" t="s">
        <v>85</v>
      </c>
      <c r="G41" s="97" t="s">
        <v>85</v>
      </c>
      <c r="H41" s="97" t="s">
        <v>85</v>
      </c>
      <c r="I41" s="97" t="s">
        <v>85</v>
      </c>
      <c r="J41" s="33">
        <f>IF($D$5=0,"",100*$D41/$D$40)</f>
        <v>6.3355544622522295</v>
      </c>
      <c r="K41" s="33">
        <f t="shared" si="1"/>
        <v>7.7336676131885618</v>
      </c>
    </row>
    <row r="42" spans="1:26" s="5" customFormat="1" ht="12.95" customHeight="1" x14ac:dyDescent="0.2">
      <c r="A42" s="2"/>
      <c r="B42" s="116" t="s">
        <v>56</v>
      </c>
      <c r="C42" s="32">
        <f>C40-C41</f>
        <v>32889241518.740005</v>
      </c>
      <c r="D42" s="32">
        <f>D40-D41</f>
        <v>10576642092.559999</v>
      </c>
      <c r="E42" s="97" t="s">
        <v>85</v>
      </c>
      <c r="F42" s="97" t="s">
        <v>85</v>
      </c>
      <c r="G42" s="97" t="s">
        <v>85</v>
      </c>
      <c r="H42" s="97" t="s">
        <v>85</v>
      </c>
      <c r="I42" s="97" t="s">
        <v>85</v>
      </c>
      <c r="J42" s="33">
        <f>IF($D$5=0,"",100*$D42/$D$40)</f>
        <v>93.664445537747781</v>
      </c>
      <c r="K42" s="33">
        <f t="shared" si="1"/>
        <v>32.158364267943121</v>
      </c>
      <c r="M42" s="15"/>
      <c r="N42" s="15"/>
      <c r="O42" s="9"/>
      <c r="P42" s="9"/>
      <c r="Q42" s="3"/>
    </row>
    <row r="43" spans="1:26" s="5" customFormat="1" ht="12.95" customHeight="1" x14ac:dyDescent="0.2">
      <c r="A43" s="2"/>
      <c r="B43" s="128" t="s">
        <v>95</v>
      </c>
      <c r="C43" s="76"/>
      <c r="D43" s="76"/>
      <c r="E43" s="127"/>
      <c r="F43" s="127"/>
      <c r="G43" s="127"/>
      <c r="H43" s="127"/>
      <c r="I43" s="127"/>
      <c r="J43" s="57"/>
      <c r="K43" s="57"/>
      <c r="M43" s="15"/>
      <c r="N43" s="15"/>
      <c r="O43" s="9"/>
      <c r="P43" s="9"/>
      <c r="Q43" s="3"/>
    </row>
    <row r="44" spans="1:26" ht="20.100000000000001" customHeight="1" x14ac:dyDescent="0.2">
      <c r="B44" s="117" t="str">
        <f>CONCATENATE("Informacja z wykonania budżetów powiatów za ",$D$103," ",$C$104," rok     ",$C$106,"")</f>
        <v xml:space="preserve">Informacja z wykonania budżetów powiatów za I Kwartał 2023 rok     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</row>
    <row r="45" spans="1:26" s="5" customFormat="1" ht="9" customHeight="1" x14ac:dyDescent="0.2">
      <c r="B45" s="6"/>
      <c r="C45" s="7"/>
      <c r="D45" s="8"/>
      <c r="E45" s="8"/>
      <c r="F45" s="4"/>
      <c r="G45" s="4"/>
      <c r="H45" s="4"/>
      <c r="I45" s="4"/>
      <c r="J45" s="4"/>
      <c r="K45" s="9"/>
      <c r="L45" s="9"/>
      <c r="M45" s="3"/>
    </row>
    <row r="46" spans="1:26" ht="29.25" customHeight="1" x14ac:dyDescent="0.2">
      <c r="B46" s="160" t="s">
        <v>0</v>
      </c>
      <c r="C46" s="132" t="s">
        <v>37</v>
      </c>
      <c r="D46" s="132" t="s">
        <v>39</v>
      </c>
      <c r="E46" s="132" t="s">
        <v>38</v>
      </c>
      <c r="F46" s="132" t="s">
        <v>12</v>
      </c>
      <c r="G46" s="132"/>
      <c r="H46" s="132"/>
      <c r="I46" s="161" t="s">
        <v>66</v>
      </c>
      <c r="J46" s="132" t="s">
        <v>2</v>
      </c>
      <c r="K46" s="136" t="s">
        <v>18</v>
      </c>
      <c r="M46" s="10"/>
      <c r="N46" s="73"/>
      <c r="O46" s="77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" customHeight="1" x14ac:dyDescent="0.2">
      <c r="B47" s="160"/>
      <c r="C47" s="132"/>
      <c r="D47" s="132"/>
      <c r="E47" s="133"/>
      <c r="F47" s="134" t="s">
        <v>40</v>
      </c>
      <c r="G47" s="148" t="s">
        <v>24</v>
      </c>
      <c r="H47" s="133"/>
      <c r="I47" s="162"/>
      <c r="J47" s="132"/>
      <c r="K47" s="136"/>
      <c r="L47" s="11"/>
      <c r="M47" s="12"/>
      <c r="N47" s="74"/>
      <c r="O47" s="78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7" customHeight="1" x14ac:dyDescent="0.2">
      <c r="B48" s="160"/>
      <c r="C48" s="132"/>
      <c r="D48" s="132"/>
      <c r="E48" s="133"/>
      <c r="F48" s="133"/>
      <c r="G48" s="17" t="s">
        <v>35</v>
      </c>
      <c r="H48" s="17" t="s">
        <v>36</v>
      </c>
      <c r="I48" s="163"/>
      <c r="J48" s="132"/>
      <c r="K48" s="136"/>
      <c r="L48" s="11"/>
      <c r="M48" s="10"/>
      <c r="N48" s="74"/>
      <c r="O48" s="76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 x14ac:dyDescent="0.2">
      <c r="B49" s="160"/>
      <c r="C49" s="151" t="s">
        <v>59</v>
      </c>
      <c r="D49" s="153"/>
      <c r="E49" s="153"/>
      <c r="F49" s="153"/>
      <c r="G49" s="153"/>
      <c r="H49" s="153"/>
      <c r="I49" s="152"/>
      <c r="J49" s="150" t="s">
        <v>4</v>
      </c>
      <c r="K49" s="150"/>
      <c r="N49" s="10"/>
      <c r="O49" s="78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1.25" customHeight="1" x14ac:dyDescent="0.2">
      <c r="B50" s="16">
        <v>1</v>
      </c>
      <c r="C50" s="18">
        <v>2</v>
      </c>
      <c r="D50" s="18">
        <v>3</v>
      </c>
      <c r="E50" s="18">
        <v>4</v>
      </c>
      <c r="F50" s="16">
        <v>5</v>
      </c>
      <c r="G50" s="16">
        <v>6</v>
      </c>
      <c r="H50" s="18">
        <v>7</v>
      </c>
      <c r="I50" s="18">
        <v>8</v>
      </c>
      <c r="J50" s="16">
        <v>9</v>
      </c>
      <c r="K50" s="18">
        <v>10</v>
      </c>
      <c r="M50" s="10"/>
      <c r="N50" s="10"/>
      <c r="O50" s="76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26.85" customHeight="1" x14ac:dyDescent="0.2">
      <c r="B51" s="103" t="s">
        <v>44</v>
      </c>
      <c r="C51" s="60">
        <f>47383124280.57</f>
        <v>47383124280.57</v>
      </c>
      <c r="D51" s="72">
        <f>9540687830.67</f>
        <v>9540687830.6700001</v>
      </c>
      <c r="E51" s="72">
        <f>29684324515.58</f>
        <v>29684324515.580002</v>
      </c>
      <c r="F51" s="60">
        <f>991206272.1</f>
        <v>991206272.10000002</v>
      </c>
      <c r="G51" s="60">
        <f>8309021.86</f>
        <v>8309021.8600000003</v>
      </c>
      <c r="H51" s="60">
        <f>212629.96</f>
        <v>212629.96</v>
      </c>
      <c r="I51" s="80">
        <f>0</f>
        <v>0</v>
      </c>
      <c r="J51" s="50">
        <f>IF($D$51=0,"",100*$D51/$D$51)</f>
        <v>100</v>
      </c>
      <c r="K51" s="50">
        <f>IF(C51=0,"",100*D51/C51)</f>
        <v>20.135202090467196</v>
      </c>
      <c r="O51" s="75"/>
    </row>
    <row r="52" spans="2:26" ht="12.95" customHeight="1" x14ac:dyDescent="0.2">
      <c r="B52" s="19" t="s">
        <v>14</v>
      </c>
      <c r="C52" s="38">
        <f>13454069526.56</f>
        <v>13454069526.559999</v>
      </c>
      <c r="D52" s="38">
        <f>906417292.56</f>
        <v>906417292.55999994</v>
      </c>
      <c r="E52" s="38">
        <f>5854839121.48</f>
        <v>5854839121.4799995</v>
      </c>
      <c r="F52" s="38">
        <f>164704362.98</f>
        <v>164704362.97999999</v>
      </c>
      <c r="G52" s="38">
        <f>46.23</f>
        <v>46.23</v>
      </c>
      <c r="H52" s="38">
        <f>6039.99</f>
        <v>6039.99</v>
      </c>
      <c r="I52" s="81">
        <f>0</f>
        <v>0</v>
      </c>
      <c r="J52" s="50">
        <f t="shared" ref="J52:J60" si="2">IF($D$51=0,"",100*$D52/$D$51)</f>
        <v>9.500544495819085</v>
      </c>
      <c r="K52" s="50">
        <f t="shared" ref="K52:K60" si="3">IF(C52=0,"",100*D52/C52)</f>
        <v>6.7371235949882671</v>
      </c>
      <c r="O52" s="76"/>
    </row>
    <row r="53" spans="2:26" ht="12.95" customHeight="1" outlineLevel="1" x14ac:dyDescent="0.2">
      <c r="B53" s="20" t="s">
        <v>13</v>
      </c>
      <c r="C53" s="35">
        <f>13412929697.54</f>
        <v>13412929697.540001</v>
      </c>
      <c r="D53" s="35">
        <f>888672066.74</f>
        <v>888672066.74000001</v>
      </c>
      <c r="E53" s="35">
        <f>5835818895.66</f>
        <v>5835818895.6599998</v>
      </c>
      <c r="F53" s="35">
        <f>164704362.98</f>
        <v>164704362.97999999</v>
      </c>
      <c r="G53" s="35">
        <f>46.23</f>
        <v>46.23</v>
      </c>
      <c r="H53" s="35">
        <f>6039.99</f>
        <v>6039.99</v>
      </c>
      <c r="I53" s="82">
        <f>0</f>
        <v>0</v>
      </c>
      <c r="J53" s="50">
        <f t="shared" si="2"/>
        <v>9.3145492496172846</v>
      </c>
      <c r="K53" s="50">
        <f t="shared" si="3"/>
        <v>6.6254881430041861</v>
      </c>
      <c r="O53" s="75"/>
    </row>
    <row r="54" spans="2:26" ht="26.85" customHeight="1" x14ac:dyDescent="0.2">
      <c r="B54" s="19" t="s">
        <v>45</v>
      </c>
      <c r="C54" s="38">
        <f t="shared" ref="C54:I54" si="4">C51-C52</f>
        <v>33929054754.010002</v>
      </c>
      <c r="D54" s="38">
        <f>D51-D52</f>
        <v>8634270538.1100006</v>
      </c>
      <c r="E54" s="38">
        <f>E51-E52</f>
        <v>23829485394.100002</v>
      </c>
      <c r="F54" s="38">
        <f t="shared" si="4"/>
        <v>826501909.12</v>
      </c>
      <c r="G54" s="38">
        <f t="shared" si="4"/>
        <v>8308975.6299999999</v>
      </c>
      <c r="H54" s="38">
        <f t="shared" si="4"/>
        <v>206589.97</v>
      </c>
      <c r="I54" s="81">
        <f t="shared" si="4"/>
        <v>0</v>
      </c>
      <c r="J54" s="50">
        <f t="shared" si="2"/>
        <v>90.499455504180915</v>
      </c>
      <c r="K54" s="50">
        <f t="shared" si="3"/>
        <v>25.448013806189323</v>
      </c>
      <c r="O54" s="75"/>
    </row>
    <row r="55" spans="2:26" ht="22.5" outlineLevel="1" x14ac:dyDescent="0.2">
      <c r="B55" s="20" t="s">
        <v>84</v>
      </c>
      <c r="C55" s="35">
        <f>21480321462.94</f>
        <v>21480321462.939999</v>
      </c>
      <c r="D55" s="35">
        <f>6033449136.39</f>
        <v>6033449136.3900003</v>
      </c>
      <c r="E55" s="35">
        <f>17862847344.84</f>
        <v>17862847344.84</v>
      </c>
      <c r="F55" s="35">
        <f>531098242.92</f>
        <v>531098242.92000002</v>
      </c>
      <c r="G55" s="35">
        <f>3786.3</f>
        <v>3786.3</v>
      </c>
      <c r="H55" s="35">
        <f>1642.52</f>
        <v>1642.52</v>
      </c>
      <c r="I55" s="82">
        <f>0</f>
        <v>0</v>
      </c>
      <c r="J55" s="50">
        <f t="shared" si="2"/>
        <v>63.239142119235417</v>
      </c>
      <c r="K55" s="50">
        <f t="shared" si="3"/>
        <v>28.088262770180187</v>
      </c>
      <c r="O55" s="76"/>
    </row>
    <row r="56" spans="2:26" ht="12.95" customHeight="1" outlineLevel="1" x14ac:dyDescent="0.2">
      <c r="B56" s="23" t="s">
        <v>34</v>
      </c>
      <c r="C56" s="61">
        <f>2626870066.42</f>
        <v>2626870066.4200001</v>
      </c>
      <c r="D56" s="61">
        <f>649797676.04</f>
        <v>649797676.03999996</v>
      </c>
      <c r="E56" s="61">
        <f>1529444878.6</f>
        <v>1529444878.5999999</v>
      </c>
      <c r="F56" s="61">
        <f>2600587.53</f>
        <v>2600587.5299999998</v>
      </c>
      <c r="G56" s="61">
        <f>0</f>
        <v>0</v>
      </c>
      <c r="H56" s="61">
        <f>0</f>
        <v>0</v>
      </c>
      <c r="I56" s="83">
        <f>0</f>
        <v>0</v>
      </c>
      <c r="J56" s="50">
        <f t="shared" si="2"/>
        <v>6.8108053378617628</v>
      </c>
      <c r="K56" s="50">
        <f t="shared" si="3"/>
        <v>24.736574691932493</v>
      </c>
    </row>
    <row r="57" spans="2:26" ht="12.95" customHeight="1" outlineLevel="1" x14ac:dyDescent="0.2">
      <c r="B57" s="23" t="s">
        <v>33</v>
      </c>
      <c r="C57" s="32">
        <f>461050494.46</f>
        <v>461050494.45999998</v>
      </c>
      <c r="D57" s="32">
        <f>74582416.12</f>
        <v>74582416.120000005</v>
      </c>
      <c r="E57" s="32">
        <f>175206546.45</f>
        <v>175206546.44999999</v>
      </c>
      <c r="F57" s="32">
        <f>19593630.36</f>
        <v>19593630.359999999</v>
      </c>
      <c r="G57" s="32">
        <f>0</f>
        <v>0</v>
      </c>
      <c r="H57" s="32">
        <f>0</f>
        <v>0</v>
      </c>
      <c r="I57" s="84">
        <f>0</f>
        <v>0</v>
      </c>
      <c r="J57" s="50">
        <f t="shared" si="2"/>
        <v>0.78172997003678724</v>
      </c>
      <c r="K57" s="50">
        <f t="shared" si="3"/>
        <v>16.176626425128074</v>
      </c>
    </row>
    <row r="58" spans="2:26" ht="22.5" customHeight="1" outlineLevel="1" x14ac:dyDescent="0.2">
      <c r="B58" s="23" t="s">
        <v>51</v>
      </c>
      <c r="C58" s="61">
        <f>50398665.54</f>
        <v>50398665.539999999</v>
      </c>
      <c r="D58" s="61">
        <f>162500</f>
        <v>162500</v>
      </c>
      <c r="E58" s="61">
        <f>2295222.7</f>
        <v>2295222.7000000002</v>
      </c>
      <c r="F58" s="61">
        <f>0</f>
        <v>0</v>
      </c>
      <c r="G58" s="61">
        <f>0</f>
        <v>0</v>
      </c>
      <c r="H58" s="61">
        <f>0</f>
        <v>0</v>
      </c>
      <c r="I58" s="83">
        <f>0</f>
        <v>0</v>
      </c>
      <c r="J58" s="50">
        <f t="shared" si="2"/>
        <v>1.7032314952976336E-3</v>
      </c>
      <c r="K58" s="50">
        <f t="shared" si="3"/>
        <v>0.32242917200065213</v>
      </c>
    </row>
    <row r="59" spans="2:26" ht="12.95" customHeight="1" outlineLevel="1" x14ac:dyDescent="0.2">
      <c r="B59" s="23" t="s">
        <v>52</v>
      </c>
      <c r="C59" s="61">
        <f>1087605115.4</f>
        <v>1087605115.4000001</v>
      </c>
      <c r="D59" s="61">
        <f>238743642.36</f>
        <v>238743642.36000001</v>
      </c>
      <c r="E59" s="61">
        <f>618278501.09</f>
        <v>618278501.09000003</v>
      </c>
      <c r="F59" s="61">
        <f>9949113.19</f>
        <v>9949113.1899999995</v>
      </c>
      <c r="G59" s="61">
        <f>0</f>
        <v>0</v>
      </c>
      <c r="H59" s="61">
        <f>350</f>
        <v>350</v>
      </c>
      <c r="I59" s="85">
        <f>0</f>
        <v>0</v>
      </c>
      <c r="J59" s="50">
        <f t="shared" si="2"/>
        <v>2.5023734828900075</v>
      </c>
      <c r="K59" s="50">
        <f t="shared" si="3"/>
        <v>21.951316611102431</v>
      </c>
    </row>
    <row r="60" spans="2:26" ht="12.95" customHeight="1" outlineLevel="1" x14ac:dyDescent="0.2">
      <c r="B60" s="20" t="s">
        <v>32</v>
      </c>
      <c r="C60" s="35">
        <f t="shared" ref="C60:I60" si="5">C54-C55-C56-C57-C58-C59</f>
        <v>8222808949.2500038</v>
      </c>
      <c r="D60" s="35">
        <f>D54-D55-D56-D57-D58-D59</f>
        <v>1637535167.2000003</v>
      </c>
      <c r="E60" s="86">
        <f>E54-E55-E56-E57-E58-E59</f>
        <v>3641412900.420002</v>
      </c>
      <c r="F60" s="86">
        <f t="shared" si="5"/>
        <v>263260335.12</v>
      </c>
      <c r="G60" s="86">
        <f t="shared" si="5"/>
        <v>8305189.3300000001</v>
      </c>
      <c r="H60" s="86">
        <f t="shared" si="5"/>
        <v>204597.45</v>
      </c>
      <c r="I60" s="87">
        <f t="shared" si="5"/>
        <v>0</v>
      </c>
      <c r="J60" s="50">
        <f t="shared" si="2"/>
        <v>17.163701362661641</v>
      </c>
      <c r="K60" s="50">
        <f t="shared" si="3"/>
        <v>19.914547173680337</v>
      </c>
    </row>
    <row r="61" spans="2:26" ht="12.95" customHeight="1" x14ac:dyDescent="0.2">
      <c r="B61" s="103" t="s">
        <v>15</v>
      </c>
      <c r="C61" s="64">
        <f>C5-C51</f>
        <v>-5243234504.9800034</v>
      </c>
      <c r="D61" s="64">
        <f>D5-D51</f>
        <v>1751368650.1399994</v>
      </c>
      <c r="E61" s="92"/>
      <c r="F61" s="93"/>
      <c r="G61" s="93"/>
      <c r="H61" s="93"/>
      <c r="I61" s="135"/>
      <c r="J61" s="135"/>
      <c r="K61" s="94"/>
      <c r="L61" s="88"/>
      <c r="M61" s="13"/>
    </row>
    <row r="62" spans="2:26" ht="39" customHeight="1" x14ac:dyDescent="0.2">
      <c r="B62" s="104" t="s">
        <v>93</v>
      </c>
      <c r="C62" s="65">
        <f>C42-C54</f>
        <v>-1039813235.2699966</v>
      </c>
      <c r="D62" s="65">
        <f>D42-D54</f>
        <v>1942371554.4499989</v>
      </c>
      <c r="E62" s="91"/>
      <c r="F62" s="89"/>
      <c r="G62" s="89"/>
      <c r="H62" s="89"/>
      <c r="I62" s="89"/>
      <c r="J62" s="89"/>
      <c r="K62" s="90"/>
      <c r="L62" s="90"/>
      <c r="M62" s="10"/>
    </row>
    <row r="63" spans="2:26" ht="12" customHeight="1" x14ac:dyDescent="0.2">
      <c r="B63" s="37"/>
      <c r="C63" s="42"/>
      <c r="D63" s="42"/>
      <c r="E63" s="42"/>
      <c r="F63" s="43"/>
      <c r="G63" s="43"/>
      <c r="H63" s="43"/>
      <c r="I63" s="43"/>
      <c r="J63" s="40"/>
      <c r="K63" s="40"/>
      <c r="L63" s="41"/>
      <c r="M63" s="10"/>
    </row>
    <row r="64" spans="2:26" ht="12" customHeight="1" x14ac:dyDescent="0.2">
      <c r="B64" s="126" t="s">
        <v>96</v>
      </c>
      <c r="C64" s="42"/>
      <c r="D64" s="42"/>
      <c r="E64" s="42"/>
      <c r="F64" s="43"/>
      <c r="G64" s="43"/>
      <c r="H64" s="43"/>
      <c r="I64" s="43"/>
      <c r="J64" s="40"/>
      <c r="K64" s="40"/>
      <c r="L64" s="41"/>
      <c r="M64" s="10"/>
    </row>
    <row r="65" spans="2:13" ht="26.85" customHeight="1" x14ac:dyDescent="0.2">
      <c r="B65" s="124" t="s">
        <v>92</v>
      </c>
      <c r="C65" s="122">
        <f>1758088000.79</f>
        <v>1758088000.79</v>
      </c>
      <c r="D65" s="62">
        <f>246616066.14</f>
        <v>246616066.13999999</v>
      </c>
      <c r="E65" s="62">
        <f>612304065.650001</f>
        <v>612304065.65000105</v>
      </c>
      <c r="F65" s="62">
        <f>25507781.1</f>
        <v>25507781.100000001</v>
      </c>
      <c r="G65" s="62">
        <f>0</f>
        <v>0</v>
      </c>
      <c r="H65" s="62">
        <f>0</f>
        <v>0</v>
      </c>
      <c r="I65" s="62">
        <f>0</f>
        <v>0</v>
      </c>
      <c r="J65" s="50">
        <f>IF($D$65=0,"",100*$D65/$D$65)</f>
        <v>100</v>
      </c>
      <c r="K65" s="63">
        <f>IF(C65=0,"",100*D65/C65)</f>
        <v>14.027515461636883</v>
      </c>
      <c r="L65" s="10"/>
    </row>
    <row r="66" spans="2:13" ht="12.95" customHeight="1" x14ac:dyDescent="0.2">
      <c r="B66" s="125" t="s">
        <v>57</v>
      </c>
      <c r="C66" s="123">
        <f>1117069994.05</f>
        <v>1117069994.05</v>
      </c>
      <c r="D66" s="61">
        <f>117956718.51</f>
        <v>117956718.51000001</v>
      </c>
      <c r="E66" s="61">
        <f>352270336.87</f>
        <v>352270336.87</v>
      </c>
      <c r="F66" s="61">
        <f>16104921.5</f>
        <v>16104921.5</v>
      </c>
      <c r="G66" s="61">
        <f>0</f>
        <v>0</v>
      </c>
      <c r="H66" s="61">
        <f>0</f>
        <v>0</v>
      </c>
      <c r="I66" s="61">
        <f>0</f>
        <v>0</v>
      </c>
      <c r="J66" s="50">
        <f>IF($D$65=0,"",100*$D66/$D$65)</f>
        <v>47.830103024609052</v>
      </c>
      <c r="K66" s="63">
        <f>IF(C66=0,"",100*D66/C66)</f>
        <v>10.559474261978991</v>
      </c>
    </row>
    <row r="67" spans="2:13" ht="12.95" customHeight="1" x14ac:dyDescent="0.2">
      <c r="B67" s="125" t="s">
        <v>58</v>
      </c>
      <c r="C67" s="123">
        <f>C65-C66</f>
        <v>641018006.74000001</v>
      </c>
      <c r="D67" s="61">
        <f t="shared" ref="D67:I67" si="6">D65-D66</f>
        <v>128659347.62999998</v>
      </c>
      <c r="E67" s="61">
        <f t="shared" si="6"/>
        <v>260033728.78000104</v>
      </c>
      <c r="F67" s="61">
        <f t="shared" si="6"/>
        <v>9402859.6000000015</v>
      </c>
      <c r="G67" s="61">
        <f t="shared" si="6"/>
        <v>0</v>
      </c>
      <c r="H67" s="61">
        <f t="shared" si="6"/>
        <v>0</v>
      </c>
      <c r="I67" s="61">
        <f t="shared" si="6"/>
        <v>0</v>
      </c>
      <c r="J67" s="50">
        <f>IF($D$65=0,"",100*$D67/$D$65)</f>
        <v>52.169896975390941</v>
      </c>
      <c r="K67" s="63">
        <f>IF(C67=0,"",100*D67/C67)</f>
        <v>20.071097266723871</v>
      </c>
    </row>
    <row r="68" spans="2:13" ht="20.100000000000001" customHeight="1" x14ac:dyDescent="0.2">
      <c r="B68" s="117" t="str">
        <f>CONCATENATE("Informacja z wykonania budżetów powiatów za ",$D$103," ",$C$104," rok     ",$C$106,"")</f>
        <v xml:space="preserve">Informacja z wykonania budżetów powiatów za I Kwartał 2023 rok     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2:13" x14ac:dyDescent="0.2">
      <c r="B69" s="28" t="s">
        <v>16</v>
      </c>
      <c r="C69" s="95" t="s">
        <v>17</v>
      </c>
      <c r="D69" s="71" t="s">
        <v>1</v>
      </c>
      <c r="E69" s="139" t="s">
        <v>85</v>
      </c>
      <c r="F69" s="140"/>
      <c r="G69" s="140"/>
      <c r="H69" s="140"/>
      <c r="I69" s="141"/>
      <c r="J69" s="18" t="s">
        <v>22</v>
      </c>
      <c r="K69" s="18" t="s">
        <v>23</v>
      </c>
    </row>
    <row r="70" spans="2:13" x14ac:dyDescent="0.2">
      <c r="B70" s="28"/>
      <c r="C70" s="134" t="s">
        <v>59</v>
      </c>
      <c r="D70" s="149"/>
      <c r="E70" s="142"/>
      <c r="F70" s="143"/>
      <c r="G70" s="143"/>
      <c r="H70" s="143"/>
      <c r="I70" s="144"/>
      <c r="J70" s="130" t="s">
        <v>4</v>
      </c>
      <c r="K70" s="131"/>
    </row>
    <row r="71" spans="2:13" x14ac:dyDescent="0.2">
      <c r="B71" s="26">
        <v>1</v>
      </c>
      <c r="C71" s="29">
        <v>2</v>
      </c>
      <c r="D71" s="27">
        <v>3</v>
      </c>
      <c r="E71" s="145"/>
      <c r="F71" s="146"/>
      <c r="G71" s="146"/>
      <c r="H71" s="146"/>
      <c r="I71" s="147"/>
      <c r="J71" s="27">
        <v>4</v>
      </c>
      <c r="K71" s="27">
        <v>5</v>
      </c>
    </row>
    <row r="72" spans="2:13" ht="26.85" customHeight="1" x14ac:dyDescent="0.2">
      <c r="B72" s="105" t="s">
        <v>46</v>
      </c>
      <c r="C72" s="44">
        <f>6020006085.66</f>
        <v>6020006085.6599998</v>
      </c>
      <c r="D72" s="72">
        <f>5632565510.92</f>
        <v>5632565510.9200001</v>
      </c>
      <c r="E72" s="102" t="s">
        <v>85</v>
      </c>
      <c r="F72" s="102" t="s">
        <v>85</v>
      </c>
      <c r="G72" s="102" t="s">
        <v>85</v>
      </c>
      <c r="H72" s="102" t="s">
        <v>85</v>
      </c>
      <c r="I72" s="102" t="s">
        <v>85</v>
      </c>
      <c r="J72" s="45">
        <f>IF($D$72=0,"",100*$D72/$D$72)</f>
        <v>100</v>
      </c>
      <c r="K72" s="39">
        <f t="shared" ref="K72:K86" si="7">IF(C72=0,"",100*D72/C72)</f>
        <v>93.564116560232293</v>
      </c>
    </row>
    <row r="73" spans="2:13" ht="25.5" customHeight="1" x14ac:dyDescent="0.2">
      <c r="B73" s="119" t="s">
        <v>69</v>
      </c>
      <c r="C73" s="46">
        <f>2099008763.07</f>
        <v>2099008763.0699999</v>
      </c>
      <c r="D73" s="98">
        <f>33002645.81</f>
        <v>33002645.809999999</v>
      </c>
      <c r="E73" s="102" t="s">
        <v>85</v>
      </c>
      <c r="F73" s="102" t="s">
        <v>85</v>
      </c>
      <c r="G73" s="102" t="s">
        <v>85</v>
      </c>
      <c r="H73" s="102" t="s">
        <v>85</v>
      </c>
      <c r="I73" s="102" t="s">
        <v>85</v>
      </c>
      <c r="J73" s="47">
        <f t="shared" ref="J73:J82" si="8">IF($D$72=0,"",100*$D73/$D$72)</f>
        <v>0.58592564517921575</v>
      </c>
      <c r="K73" s="48">
        <f t="shared" si="7"/>
        <v>1.5722967140799589</v>
      </c>
    </row>
    <row r="74" spans="2:13" ht="22.5" x14ac:dyDescent="0.2">
      <c r="B74" s="120" t="s">
        <v>70</v>
      </c>
      <c r="C74" s="66">
        <f>182454860</f>
        <v>182454860</v>
      </c>
      <c r="D74" s="56">
        <f>10000000</f>
        <v>10000000</v>
      </c>
      <c r="E74" s="102" t="s">
        <v>85</v>
      </c>
      <c r="F74" s="102" t="s">
        <v>85</v>
      </c>
      <c r="G74" s="102" t="s">
        <v>85</v>
      </c>
      <c r="H74" s="102" t="s">
        <v>85</v>
      </c>
      <c r="I74" s="102" t="s">
        <v>85</v>
      </c>
      <c r="J74" s="67">
        <f t="shared" si="8"/>
        <v>0.17753899143494634</v>
      </c>
      <c r="K74" s="68">
        <f t="shared" si="7"/>
        <v>5.4808076912832027</v>
      </c>
    </row>
    <row r="75" spans="2:13" ht="12.95" customHeight="1" x14ac:dyDescent="0.2">
      <c r="B75" s="118" t="s">
        <v>71</v>
      </c>
      <c r="C75" s="66">
        <f>56506756.81</f>
        <v>56506756.810000002</v>
      </c>
      <c r="D75" s="56">
        <f>3521306.43</f>
        <v>3521306.43</v>
      </c>
      <c r="E75" s="102" t="s">
        <v>85</v>
      </c>
      <c r="F75" s="102" t="s">
        <v>85</v>
      </c>
      <c r="G75" s="102" t="s">
        <v>85</v>
      </c>
      <c r="H75" s="102" t="s">
        <v>85</v>
      </c>
      <c r="I75" s="102" t="s">
        <v>85</v>
      </c>
      <c r="J75" s="67">
        <f t="shared" si="8"/>
        <v>6.2516919211559149E-2</v>
      </c>
      <c r="K75" s="68">
        <f t="shared" si="7"/>
        <v>6.2316555201356634</v>
      </c>
    </row>
    <row r="76" spans="2:13" ht="48.75" customHeight="1" x14ac:dyDescent="0.2">
      <c r="B76" s="118" t="s">
        <v>78</v>
      </c>
      <c r="C76" s="66">
        <f>1106812782.79</f>
        <v>1106812782.79</v>
      </c>
      <c r="D76" s="56">
        <f>1927506306.03</f>
        <v>1927506306.03</v>
      </c>
      <c r="E76" s="102" t="s">
        <v>85</v>
      </c>
      <c r="F76" s="102" t="s">
        <v>85</v>
      </c>
      <c r="G76" s="102" t="s">
        <v>85</v>
      </c>
      <c r="H76" s="102" t="s">
        <v>85</v>
      </c>
      <c r="I76" s="102" t="s">
        <v>85</v>
      </c>
      <c r="J76" s="67">
        <f t="shared" si="8"/>
        <v>34.220752555706518</v>
      </c>
      <c r="K76" s="68">
        <f t="shared" si="7"/>
        <v>174.14926318173121</v>
      </c>
    </row>
    <row r="77" spans="2:13" ht="35.25" customHeight="1" x14ac:dyDescent="0.2">
      <c r="B77" s="118" t="s">
        <v>79</v>
      </c>
      <c r="C77" s="66">
        <f>815569345.9</f>
        <v>815569345.89999998</v>
      </c>
      <c r="D77" s="56">
        <f>919967906.47</f>
        <v>919967906.47000003</v>
      </c>
      <c r="E77" s="102" t="s">
        <v>85</v>
      </c>
      <c r="F77" s="102" t="s">
        <v>85</v>
      </c>
      <c r="G77" s="102" t="s">
        <v>85</v>
      </c>
      <c r="H77" s="102" t="s">
        <v>85</v>
      </c>
      <c r="I77" s="102" t="s">
        <v>85</v>
      </c>
      <c r="J77" s="67">
        <f t="shared" si="8"/>
        <v>16.333017426720282</v>
      </c>
      <c r="K77" s="68">
        <f t="shared" si="7"/>
        <v>112.80069697259081</v>
      </c>
    </row>
    <row r="78" spans="2:13" ht="12.95" customHeight="1" x14ac:dyDescent="0.2">
      <c r="B78" s="118" t="s">
        <v>72</v>
      </c>
      <c r="C78" s="66">
        <f>0</f>
        <v>0</v>
      </c>
      <c r="D78" s="56">
        <f>0</f>
        <v>0</v>
      </c>
      <c r="E78" s="102" t="s">
        <v>85</v>
      </c>
      <c r="F78" s="102" t="s">
        <v>85</v>
      </c>
      <c r="G78" s="102" t="s">
        <v>85</v>
      </c>
      <c r="H78" s="102" t="s">
        <v>85</v>
      </c>
      <c r="I78" s="102" t="s">
        <v>85</v>
      </c>
      <c r="J78" s="67">
        <f t="shared" si="8"/>
        <v>0</v>
      </c>
      <c r="K78" s="68" t="str">
        <f t="shared" si="7"/>
        <v/>
      </c>
    </row>
    <row r="79" spans="2:13" ht="33.75" x14ac:dyDescent="0.2">
      <c r="B79" s="118" t="s">
        <v>73</v>
      </c>
      <c r="C79" s="66">
        <f>1809231126.47</f>
        <v>1809231126.47</v>
      </c>
      <c r="D79" s="56">
        <f>2607600356.4</f>
        <v>2607600356.4000001</v>
      </c>
      <c r="E79" s="102" t="s">
        <v>85</v>
      </c>
      <c r="F79" s="102" t="s">
        <v>85</v>
      </c>
      <c r="G79" s="102" t="s">
        <v>85</v>
      </c>
      <c r="H79" s="102" t="s">
        <v>85</v>
      </c>
      <c r="I79" s="102" t="s">
        <v>85</v>
      </c>
      <c r="J79" s="67">
        <f t="shared" si="8"/>
        <v>46.295073734066257</v>
      </c>
      <c r="K79" s="68">
        <f t="shared" si="7"/>
        <v>144.12754226087753</v>
      </c>
    </row>
    <row r="80" spans="2:13" ht="56.25" x14ac:dyDescent="0.2">
      <c r="B80" s="118" t="s">
        <v>101</v>
      </c>
      <c r="C80" s="66">
        <f>0</f>
        <v>0</v>
      </c>
      <c r="D80" s="56">
        <f>8066286.36</f>
        <v>8066286.3600000003</v>
      </c>
      <c r="E80" s="102" t="s">
        <v>85</v>
      </c>
      <c r="F80" s="102" t="s">
        <v>85</v>
      </c>
      <c r="G80" s="102" t="s">
        <v>85</v>
      </c>
      <c r="H80" s="102" t="s">
        <v>85</v>
      </c>
      <c r="I80" s="102" t="s">
        <v>85</v>
      </c>
      <c r="J80" s="67">
        <f t="shared" si="8"/>
        <v>0.14320803449798644</v>
      </c>
      <c r="K80" s="68" t="str">
        <f>IF(C80=0,"",100*D80/C80)</f>
        <v/>
      </c>
    </row>
    <row r="81" spans="2:11" x14ac:dyDescent="0.2">
      <c r="B81" s="118" t="s">
        <v>97</v>
      </c>
      <c r="C81" s="66">
        <f>132877310.62</f>
        <v>132877310.62</v>
      </c>
      <c r="D81" s="56">
        <f>132900703.42</f>
        <v>132900703.42</v>
      </c>
      <c r="E81" s="102" t="s">
        <v>85</v>
      </c>
      <c r="F81" s="102" t="s">
        <v>85</v>
      </c>
      <c r="G81" s="102" t="s">
        <v>85</v>
      </c>
      <c r="H81" s="102" t="s">
        <v>85</v>
      </c>
      <c r="I81" s="102" t="s">
        <v>85</v>
      </c>
      <c r="J81" s="67">
        <f t="shared" si="8"/>
        <v>2.3595056846181723</v>
      </c>
      <c r="K81" s="68">
        <f>IF(C81=0,"",100*D81/C81)</f>
        <v>100.01760481145415</v>
      </c>
    </row>
    <row r="82" spans="2:11" ht="23.25" customHeight="1" x14ac:dyDescent="0.2">
      <c r="B82" s="120" t="s">
        <v>98</v>
      </c>
      <c r="C82" s="66">
        <f>132877310.62</f>
        <v>132877310.62</v>
      </c>
      <c r="D82" s="56">
        <f>132900703.42</f>
        <v>132900703.42</v>
      </c>
      <c r="E82" s="102" t="s">
        <v>85</v>
      </c>
      <c r="F82" s="102" t="s">
        <v>85</v>
      </c>
      <c r="G82" s="102" t="s">
        <v>85</v>
      </c>
      <c r="H82" s="102" t="s">
        <v>85</v>
      </c>
      <c r="I82" s="102" t="s">
        <v>85</v>
      </c>
      <c r="J82" s="67">
        <f t="shared" si="8"/>
        <v>2.3595056846181723</v>
      </c>
      <c r="K82" s="68">
        <f>IF(C82=0,"",100*D82/C82)</f>
        <v>100.01760481145415</v>
      </c>
    </row>
    <row r="83" spans="2:11" ht="26.85" customHeight="1" x14ac:dyDescent="0.2">
      <c r="B83" s="105" t="s">
        <v>47</v>
      </c>
      <c r="C83" s="51">
        <f>776771580.68</f>
        <v>776771580.67999995</v>
      </c>
      <c r="D83" s="72">
        <f>404864245.56</f>
        <v>404864245.56</v>
      </c>
      <c r="E83" s="102" t="s">
        <v>85</v>
      </c>
      <c r="F83" s="102" t="s">
        <v>85</v>
      </c>
      <c r="G83" s="102" t="s">
        <v>85</v>
      </c>
      <c r="H83" s="102" t="s">
        <v>85</v>
      </c>
      <c r="I83" s="102" t="s">
        <v>85</v>
      </c>
      <c r="J83" s="45">
        <f t="shared" ref="J83:J88" si="9">IF($D$83=0,"",100*$D83/$D$83)</f>
        <v>100</v>
      </c>
      <c r="K83" s="39">
        <f t="shared" si="7"/>
        <v>52.121402949059295</v>
      </c>
    </row>
    <row r="84" spans="2:11" ht="33.75" x14ac:dyDescent="0.2">
      <c r="B84" s="119" t="s">
        <v>102</v>
      </c>
      <c r="C84" s="46">
        <f>713901703.88</f>
        <v>713901703.88</v>
      </c>
      <c r="D84" s="99">
        <f>195873239.54</f>
        <v>195873239.53999999</v>
      </c>
      <c r="E84" s="102" t="s">
        <v>85</v>
      </c>
      <c r="F84" s="102" t="s">
        <v>85</v>
      </c>
      <c r="G84" s="102" t="s">
        <v>85</v>
      </c>
      <c r="H84" s="102" t="s">
        <v>85</v>
      </c>
      <c r="I84" s="102" t="s">
        <v>85</v>
      </c>
      <c r="J84" s="47">
        <f t="shared" si="9"/>
        <v>48.379979632202918</v>
      </c>
      <c r="K84" s="48">
        <f t="shared" si="7"/>
        <v>27.437004068689603</v>
      </c>
    </row>
    <row r="85" spans="2:11" ht="12.95" customHeight="1" x14ac:dyDescent="0.2">
      <c r="B85" s="120" t="s">
        <v>74</v>
      </c>
      <c r="C85" s="66">
        <f>26700000</f>
        <v>26700000</v>
      </c>
      <c r="D85" s="56">
        <f>1800000</f>
        <v>1800000</v>
      </c>
      <c r="E85" s="102" t="s">
        <v>85</v>
      </c>
      <c r="F85" s="102" t="s">
        <v>85</v>
      </c>
      <c r="G85" s="102" t="s">
        <v>85</v>
      </c>
      <c r="H85" s="102" t="s">
        <v>85</v>
      </c>
      <c r="I85" s="102" t="s">
        <v>85</v>
      </c>
      <c r="J85" s="67">
        <f t="shared" si="9"/>
        <v>0.44459347046323555</v>
      </c>
      <c r="K85" s="68">
        <f t="shared" si="7"/>
        <v>6.7415730337078648</v>
      </c>
    </row>
    <row r="86" spans="2:11" ht="12.95" customHeight="1" x14ac:dyDescent="0.2">
      <c r="B86" s="118" t="s">
        <v>83</v>
      </c>
      <c r="C86" s="66">
        <f>47353433.43</f>
        <v>47353433.43</v>
      </c>
      <c r="D86" s="56">
        <f>29730000</f>
        <v>29730000</v>
      </c>
      <c r="E86" s="102" t="s">
        <v>85</v>
      </c>
      <c r="F86" s="102" t="s">
        <v>85</v>
      </c>
      <c r="G86" s="102" t="s">
        <v>85</v>
      </c>
      <c r="H86" s="102" t="s">
        <v>85</v>
      </c>
      <c r="I86" s="102" t="s">
        <v>85</v>
      </c>
      <c r="J86" s="67">
        <f t="shared" si="9"/>
        <v>7.3432021538177734</v>
      </c>
      <c r="K86" s="68">
        <f t="shared" si="7"/>
        <v>62.783198274203791</v>
      </c>
    </row>
    <row r="87" spans="2:11" ht="12.95" customHeight="1" x14ac:dyDescent="0.2">
      <c r="B87" s="118" t="s">
        <v>99</v>
      </c>
      <c r="C87" s="66">
        <f>15516443.37</f>
        <v>15516443.369999999</v>
      </c>
      <c r="D87" s="56">
        <f>179261006.02</f>
        <v>179261006.02000001</v>
      </c>
      <c r="E87" s="102" t="s">
        <v>85</v>
      </c>
      <c r="F87" s="102" t="s">
        <v>85</v>
      </c>
      <c r="G87" s="102" t="s">
        <v>85</v>
      </c>
      <c r="H87" s="102" t="s">
        <v>85</v>
      </c>
      <c r="I87" s="102" t="s">
        <v>85</v>
      </c>
      <c r="J87" s="67">
        <f t="shared" si="9"/>
        <v>44.276818213979311</v>
      </c>
      <c r="K87" s="68">
        <f>IF(C87=0,"",100*D87/C87)</f>
        <v>1155.2970081184269</v>
      </c>
    </row>
    <row r="88" spans="2:11" ht="22.5" x14ac:dyDescent="0.2">
      <c r="B88" s="120" t="s">
        <v>100</v>
      </c>
      <c r="C88" s="66">
        <f>862157.11</f>
        <v>862157.11</v>
      </c>
      <c r="D88" s="56">
        <f>0</f>
        <v>0</v>
      </c>
      <c r="E88" s="102" t="s">
        <v>85</v>
      </c>
      <c r="F88" s="102" t="s">
        <v>85</v>
      </c>
      <c r="G88" s="102" t="s">
        <v>85</v>
      </c>
      <c r="H88" s="102" t="s">
        <v>85</v>
      </c>
      <c r="I88" s="102" t="s">
        <v>85</v>
      </c>
      <c r="J88" s="67">
        <f t="shared" si="9"/>
        <v>0</v>
      </c>
      <c r="K88" s="68">
        <f>IF(C88=0,"",100*D88/C88)</f>
        <v>0</v>
      </c>
    </row>
    <row r="89" spans="2:11" x14ac:dyDescent="0.2">
      <c r="B89" s="25"/>
    </row>
    <row r="90" spans="2:11" x14ac:dyDescent="0.2">
      <c r="B90" s="52" t="s">
        <v>16</v>
      </c>
      <c r="C90" s="79" t="s">
        <v>17</v>
      </c>
      <c r="D90" s="18" t="s">
        <v>1</v>
      </c>
    </row>
    <row r="91" spans="2:11" x14ac:dyDescent="0.2">
      <c r="B91" s="52"/>
      <c r="C91" s="132" t="s">
        <v>59</v>
      </c>
      <c r="D91" s="132"/>
    </row>
    <row r="92" spans="2:11" x14ac:dyDescent="0.2">
      <c r="B92" s="26">
        <v>1</v>
      </c>
      <c r="C92" s="27">
        <v>2</v>
      </c>
      <c r="D92" s="27">
        <v>3</v>
      </c>
    </row>
    <row r="93" spans="2:11" ht="36" customHeight="1" x14ac:dyDescent="0.2">
      <c r="B93" s="53" t="s">
        <v>103</v>
      </c>
      <c r="C93" s="49">
        <f>5245479506.28</f>
        <v>5245479506.2799997</v>
      </c>
      <c r="D93" s="96">
        <f>0</f>
        <v>0</v>
      </c>
    </row>
    <row r="94" spans="2:11" ht="35.25" customHeight="1" x14ac:dyDescent="0.2">
      <c r="B94" s="121" t="s">
        <v>61</v>
      </c>
      <c r="C94" s="66">
        <f>136269776.42</f>
        <v>136269776.41999999</v>
      </c>
      <c r="D94" s="56">
        <f>0</f>
        <v>0</v>
      </c>
    </row>
    <row r="95" spans="2:11" ht="12.95" customHeight="1" x14ac:dyDescent="0.2">
      <c r="B95" s="121" t="s">
        <v>62</v>
      </c>
      <c r="C95" s="66">
        <f>1587271187.1</f>
        <v>1587271187.0999999</v>
      </c>
      <c r="D95" s="56">
        <f>0</f>
        <v>0</v>
      </c>
    </row>
    <row r="96" spans="2:11" ht="24" customHeight="1" x14ac:dyDescent="0.2">
      <c r="B96" s="121" t="s">
        <v>63</v>
      </c>
      <c r="C96" s="66">
        <f>0</f>
        <v>0</v>
      </c>
      <c r="D96" s="56">
        <f>0</f>
        <v>0</v>
      </c>
    </row>
    <row r="97" spans="2:4" ht="57.75" customHeight="1" x14ac:dyDescent="0.2">
      <c r="B97" s="121" t="s">
        <v>80</v>
      </c>
      <c r="C97" s="66">
        <f>1064936061.96</f>
        <v>1064936061.96</v>
      </c>
      <c r="D97" s="56">
        <f>0</f>
        <v>0</v>
      </c>
    </row>
    <row r="98" spans="2:4" ht="81" customHeight="1" x14ac:dyDescent="0.2">
      <c r="B98" s="121" t="s">
        <v>64</v>
      </c>
      <c r="C98" s="66">
        <f>1509878279.24</f>
        <v>1509878279.24</v>
      </c>
      <c r="D98" s="56">
        <f>0</f>
        <v>0</v>
      </c>
    </row>
    <row r="99" spans="2:4" ht="149.25" customHeight="1" x14ac:dyDescent="0.2">
      <c r="B99" s="121" t="s">
        <v>81</v>
      </c>
      <c r="C99" s="66">
        <f>801203323.04</f>
        <v>801203323.03999996</v>
      </c>
      <c r="D99" s="56">
        <f>0</f>
        <v>0</v>
      </c>
    </row>
    <row r="100" spans="2:4" ht="25.5" customHeight="1" x14ac:dyDescent="0.2">
      <c r="B100" s="121" t="s">
        <v>82</v>
      </c>
      <c r="C100" s="66">
        <f>21637810.45</f>
        <v>21637810.449999999</v>
      </c>
      <c r="D100" s="56">
        <f>0</f>
        <v>0</v>
      </c>
    </row>
    <row r="101" spans="2:4" ht="25.5" customHeight="1" x14ac:dyDescent="0.2">
      <c r="B101" s="129" t="s">
        <v>98</v>
      </c>
      <c r="C101" s="66">
        <f>124283068.07</f>
        <v>124283068.06999999</v>
      </c>
      <c r="D101" s="56">
        <f>0</f>
        <v>0</v>
      </c>
    </row>
    <row r="103" spans="2:4" ht="10.5" customHeight="1" x14ac:dyDescent="0.2">
      <c r="B103" s="24" t="s">
        <v>48</v>
      </c>
      <c r="C103" s="24">
        <f>1</f>
        <v>1</v>
      </c>
      <c r="D103" s="24" t="str">
        <f>IF(C103=1,"I Kwartał",IF(C103=2,"II Kwartały",IF(C103=3,"III Kwartały",IF(C103=4,"IV Kwartały",IF(C103="M1","Styczeń",IF(C103="M11","Listopad",IF(C103="M12","Grudzień","-")))))))</f>
        <v>I Kwartał</v>
      </c>
    </row>
    <row r="104" spans="2:4" ht="10.5" customHeight="1" x14ac:dyDescent="0.2">
      <c r="B104" s="24" t="s">
        <v>49</v>
      </c>
      <c r="C104" s="100">
        <f>2023</f>
        <v>2023</v>
      </c>
      <c r="D104" s="25"/>
    </row>
    <row r="105" spans="2:4" ht="12" customHeight="1" x14ac:dyDescent="0.2">
      <c r="B105" s="24" t="s">
        <v>50</v>
      </c>
      <c r="C105" s="137" t="str">
        <f>"May 26 2023 12:00AM"</f>
        <v>May 26 2023 12:00AM</v>
      </c>
      <c r="D105" s="138"/>
    </row>
    <row r="106" spans="2:4" ht="9.75" hidden="1" customHeight="1" x14ac:dyDescent="0.2">
      <c r="B106" s="24" t="s">
        <v>54</v>
      </c>
      <c r="C106" s="101" t="str">
        <f>""</f>
        <v/>
      </c>
      <c r="D106" s="25"/>
    </row>
  </sheetData>
  <mergeCells count="22">
    <mergeCell ref="C3:D3"/>
    <mergeCell ref="J3:L3"/>
    <mergeCell ref="E3:I4"/>
    <mergeCell ref="B2:B3"/>
    <mergeCell ref="C46:C48"/>
    <mergeCell ref="B46:B49"/>
    <mergeCell ref="I46:I48"/>
    <mergeCell ref="C49:I49"/>
    <mergeCell ref="C105:D105"/>
    <mergeCell ref="E69:I71"/>
    <mergeCell ref="F46:H46"/>
    <mergeCell ref="G47:H47"/>
    <mergeCell ref="C70:D70"/>
    <mergeCell ref="C91:D91"/>
    <mergeCell ref="J70:K70"/>
    <mergeCell ref="D46:D48"/>
    <mergeCell ref="E46:E48"/>
    <mergeCell ref="F47:F48"/>
    <mergeCell ref="I61:J61"/>
    <mergeCell ref="K46:K48"/>
    <mergeCell ref="J46:J48"/>
    <mergeCell ref="J49:K49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useFirstPageNumber="1" r:id="rId1"/>
  <headerFooter alignWithMargins="0">
    <oddFooter>&amp;RStrona &amp;P z &amp;N</oddFooter>
  </headerFooter>
  <rowBreaks count="4" manualBreakCount="4">
    <brk id="34" min="1" max="11" man="1"/>
    <brk id="43" max="16383" man="1"/>
    <brk id="67" max="16383" man="1"/>
    <brk id="8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2017-03-30T11:49:59Z</cp:lastPrinted>
  <dcterms:created xsi:type="dcterms:W3CDTF">2001-05-17T08:58:03Z</dcterms:created>
  <dcterms:modified xsi:type="dcterms:W3CDTF">2023-06-01T13:56:35Z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2022-06-01T15:12:20.5504483+02:00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GRN-bdb4f178-0504-4a7c-baaa-5bdd997b4a6c</vt:lpwstr>
  </property>
  <property fmtid="{D5CDD505-2E9C-101B-9397-08002B2CF9AE}" pid="7" name="MFHash">
    <vt:lpwstr>cvgFc3qUTZFJKNGd/QdKw5m28phCkq0fuCyZvwRduGg=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