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<sst xmlns="http://schemas.openxmlformats.org/spreadsheetml/2006/main" count="98" uniqueCount="79">
  <si>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</si>
  <si>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</si>
  <si>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</si>
  <si>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</si>
  <si>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</si>
  <si>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</si>
  <si>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</si>
  <si>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</si>
  <si>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</si>
  <si>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</si>
  <si>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</si>
  <si>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</si>
  <si>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</si>
  <si>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</si>
  <si>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</si>
  <si>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</si>
  <si>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</si>
  <si>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</si>
  <si>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</si>
  <si>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</si>
  <si>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</si>
  <si>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</si>
  <si>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</si>
  <si>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</si>
  <si>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</si>
  <si>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</si>
  <si>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</si>
  <si>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</si>
  <si>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</si>
  <si>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</si>
  <si>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</si>
  <si>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</si>
  <si>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</si>
  <si>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</si>
  <si>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</si>
  <si>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</si>
  <si>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</si>
  <si>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</si>
  <si>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</si>
  <si>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</si>
  <si>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</si>
  <si>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</si>
  <si>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</si>
  <si>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</si>
  <si>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</si>
  <si>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</si>
  <si>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</si>
  <si>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</si>
  <si>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</si>
  <si>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</si>
  <si>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</si>
  <si>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</si>
  <si>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</si>
  <si>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</si>
  <si>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</si>
  <si>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</si>
  <si>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</si>
  <si>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</si>
  <si>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</si>
  <si>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</si>
  <si>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</si>
  <si>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</si>
  <si>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</si>
  <si>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</si>
  <si>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</si>
  <si>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</si>
  <si>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</si>
  <si>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</si>
  <si>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</si>
  <si>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</si>
  <si>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</si>
  <si>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</si>
  <si>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</si>
  <si>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</si>
  <si>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E1 papiery wartościowe  (E1.1+E1.2)</t>
  </si>
  <si>
    <t>E2 kredyty i pożyczki (E2.1+E2.2)</t>
  </si>
  <si>
    <t>E4  wymagalne zobowiązania (E4.1+E4.2)</t>
  </si>
  <si>
    <t>N5.2 z tytułu podatków i składek na ubezpieczenia społ.</t>
  </si>
  <si>
    <t xml:space="preserve">Informacja z wykonania budżetów powiatów za   I Kwartał 2019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</si>
</sst>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3" fillId="40" borderId="19" xfId="88" applyFont="1" applyFill="1" applyBorder="1" applyAlignment="1">
      <alignment horizontal="left" vertical="center" wrapText="1"/>
      <protection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88"/>
  <sheetViews>
    <sheetView tabSelected="1" zoomScaleSheetLayoutView="75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2.625" style="2" customWidth="1"/>
    <col min="10" max="10" width="12.875" style="2" customWidth="1"/>
    <col min="11" max="11" width="12.125" style="2" customWidth="1"/>
    <col min="12" max="12" width="11.375" style="2" customWidth="1"/>
    <col min="13" max="13" width="10.00390625" style="2" customWidth="1"/>
    <col min="14" max="14" width="10.25390625" style="2" customWidth="1"/>
    <col min="15" max="15" width="9.125" style="2" customWidth="1"/>
    <col min="16" max="16" width="10.25390625" style="2" customWidth="1"/>
    <col min="17" max="16384" width="9.125" style="2" customWidth="1"/>
  </cols>
  <sheetData>
    <row r="1" spans="1:13" ht="39.75" customHeight="1">
      <c r="A1" s="29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9" t="s">
        <v>58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2:17" ht="13.5" customHeight="1">
      <c r="B5" s="9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8"/>
      <c r="O5" s="8"/>
      <c r="P5" s="8"/>
      <c r="Q5" s="8"/>
    </row>
    <row r="6" spans="1:17" ht="13.5" customHeight="1">
      <c r="A6" s="72" t="s">
        <v>0</v>
      </c>
      <c r="B6" s="30" t="s">
        <v>59</v>
      </c>
      <c r="C6" s="25" t="s">
        <v>63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5" t="s">
        <v>62</v>
      </c>
      <c r="P6" s="26"/>
      <c r="Q6" s="27"/>
    </row>
    <row r="7" spans="1:17" ht="13.5" customHeight="1">
      <c r="A7" s="73"/>
      <c r="B7" s="31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69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1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73"/>
      <c r="B8" s="31"/>
      <c r="C8" s="28"/>
      <c r="D8" s="28"/>
      <c r="E8" s="28"/>
      <c r="F8" s="28"/>
      <c r="G8" s="28"/>
      <c r="H8" s="28"/>
      <c r="I8" s="69"/>
      <c r="J8" s="28"/>
      <c r="K8" s="28"/>
      <c r="L8" s="28"/>
      <c r="M8" s="28"/>
      <c r="N8" s="31"/>
      <c r="O8" s="28"/>
      <c r="P8" s="28"/>
      <c r="Q8" s="28"/>
    </row>
    <row r="9" spans="1:17" ht="11.25" customHeight="1">
      <c r="A9" s="73"/>
      <c r="B9" s="31"/>
      <c r="C9" s="28"/>
      <c r="D9" s="28"/>
      <c r="E9" s="28"/>
      <c r="F9" s="28"/>
      <c r="G9" s="28"/>
      <c r="H9" s="28"/>
      <c r="I9" s="69"/>
      <c r="J9" s="28"/>
      <c r="K9" s="28"/>
      <c r="L9" s="28"/>
      <c r="M9" s="28"/>
      <c r="N9" s="31"/>
      <c r="O9" s="28"/>
      <c r="P9" s="28"/>
      <c r="Q9" s="28"/>
    </row>
    <row r="10" spans="1:17" ht="33.75" customHeight="1">
      <c r="A10" s="74"/>
      <c r="B10" s="32"/>
      <c r="C10" s="28"/>
      <c r="D10" s="28"/>
      <c r="E10" s="28"/>
      <c r="F10" s="28"/>
      <c r="G10" s="28"/>
      <c r="H10" s="28"/>
      <c r="I10" s="70"/>
      <c r="J10" s="28"/>
      <c r="K10" s="28"/>
      <c r="L10" s="28"/>
      <c r="M10" s="28"/>
      <c r="N10" s="32"/>
      <c r="O10" s="28"/>
      <c r="P10" s="28"/>
      <c r="Q10" s="28"/>
    </row>
    <row r="11" spans="1:17" ht="15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2" customHeight="1">
      <c r="A12" s="10"/>
      <c r="B12" s="78" t="s">
        <v>73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</row>
    <row r="13" spans="1:17" ht="39.75" customHeight="1">
      <c r="A13" s="18" t="s">
        <v>43</v>
      </c>
      <c r="B13" s="19">
        <f>6335393523.77</f>
        <v>6335393523.77</v>
      </c>
      <c r="C13" s="19">
        <f>6335393523.77</f>
        <v>6335393523.77</v>
      </c>
      <c r="D13" s="19">
        <f>256298133.2</f>
        <v>256298133.2</v>
      </c>
      <c r="E13" s="19">
        <f>190372463.28</f>
        <v>190372463.28</v>
      </c>
      <c r="F13" s="19">
        <f>25306673.35</f>
        <v>25306673.35</v>
      </c>
      <c r="G13" s="19">
        <f>40618940.77</f>
        <v>40618940.77</v>
      </c>
      <c r="H13" s="19">
        <f>55.8</f>
        <v>55.8</v>
      </c>
      <c r="I13" s="19">
        <f>0</f>
        <v>0</v>
      </c>
      <c r="J13" s="19">
        <f>5965463381.03</f>
        <v>5965463381.03</v>
      </c>
      <c r="K13" s="19">
        <f>109055140.24</f>
        <v>109055140.24</v>
      </c>
      <c r="L13" s="19">
        <f>3249556.56</f>
        <v>3249556.56</v>
      </c>
      <c r="M13" s="19">
        <f>1288498.3</f>
        <v>1288498.3</v>
      </c>
      <c r="N13" s="19">
        <f>38814.44</f>
        <v>38814.44</v>
      </c>
      <c r="O13" s="19">
        <f>0</f>
        <v>0</v>
      </c>
      <c r="P13" s="19">
        <f>0</f>
        <v>0</v>
      </c>
      <c r="Q13" s="19">
        <f>0</f>
        <v>0</v>
      </c>
    </row>
    <row r="14" spans="1:17" ht="24.75" customHeight="1">
      <c r="A14" s="17" t="s">
        <v>74</v>
      </c>
      <c r="B14" s="19">
        <f>83195000</f>
        <v>83195000</v>
      </c>
      <c r="C14" s="19">
        <f>83195000</f>
        <v>83195000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83195000</f>
        <v>83195000</v>
      </c>
      <c r="K14" s="19">
        <f>0</f>
        <v>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21" customHeight="1">
      <c r="A15" s="15" t="s">
        <v>44</v>
      </c>
      <c r="B15" s="20">
        <f>850000</f>
        <v>850000</v>
      </c>
      <c r="C15" s="20">
        <f>850000</f>
        <v>850000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850000</f>
        <v>850000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20.25" customHeight="1">
      <c r="A16" s="15" t="s">
        <v>45</v>
      </c>
      <c r="B16" s="20">
        <f>82345000</f>
        <v>82345000</v>
      </c>
      <c r="C16" s="20">
        <f>82345000</f>
        <v>82345000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82345000</f>
        <v>82345000</v>
      </c>
      <c r="K16" s="20">
        <f>0</f>
        <v>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24" customHeight="1">
      <c r="A17" s="18" t="s">
        <v>75</v>
      </c>
      <c r="B17" s="19">
        <f>6248602289.32</f>
        <v>6248602289.32</v>
      </c>
      <c r="C17" s="19">
        <f>6248602289.32</f>
        <v>6248602289.32</v>
      </c>
      <c r="D17" s="19">
        <f>253832752.9</f>
        <v>253832752.9</v>
      </c>
      <c r="E17" s="19">
        <f>188383936.58</f>
        <v>188383936.58</v>
      </c>
      <c r="F17" s="19">
        <f>25306101.35</f>
        <v>25306101.35</v>
      </c>
      <c r="G17" s="19">
        <f>40142714.97</f>
        <v>40142714.97</v>
      </c>
      <c r="H17" s="19">
        <f>0</f>
        <v>0</v>
      </c>
      <c r="I17" s="19">
        <f>0</f>
        <v>0</v>
      </c>
      <c r="J17" s="19">
        <f>5882265891.03</f>
        <v>5882265891.03</v>
      </c>
      <c r="K17" s="19">
        <f>109055140.24</f>
        <v>109055140.24</v>
      </c>
      <c r="L17" s="19">
        <f>3113511.51</f>
        <v>3113511.51</v>
      </c>
      <c r="M17" s="19">
        <f>298049.2</f>
        <v>298049.2</v>
      </c>
      <c r="N17" s="19">
        <f>36944.44</f>
        <v>36944.44</v>
      </c>
      <c r="O17" s="19">
        <f>0</f>
        <v>0</v>
      </c>
      <c r="P17" s="19">
        <f>0</f>
        <v>0</v>
      </c>
      <c r="Q17" s="19">
        <f>0</f>
        <v>0</v>
      </c>
    </row>
    <row r="18" spans="1:17" ht="23.25" customHeight="1">
      <c r="A18" s="15" t="s">
        <v>46</v>
      </c>
      <c r="B18" s="20">
        <f>44414788.75</f>
        <v>44414788.75</v>
      </c>
      <c r="C18" s="20">
        <f>44414788.75</f>
        <v>44414788.75</v>
      </c>
      <c r="D18" s="20">
        <f>987551</f>
        <v>987551</v>
      </c>
      <c r="E18" s="20">
        <f>672000</f>
        <v>672000</v>
      </c>
      <c r="F18" s="20">
        <f>99731</f>
        <v>99731</v>
      </c>
      <c r="G18" s="20">
        <f>215820</f>
        <v>215820</v>
      </c>
      <c r="H18" s="20">
        <f>0</f>
        <v>0</v>
      </c>
      <c r="I18" s="20">
        <f>0</f>
        <v>0</v>
      </c>
      <c r="J18" s="20">
        <f>36279048.55</f>
        <v>36279048.55</v>
      </c>
      <c r="K18" s="20">
        <f>7145310</f>
        <v>7145310</v>
      </c>
      <c r="L18" s="20">
        <f>2879.2</f>
        <v>2879.2</v>
      </c>
      <c r="M18" s="20">
        <f>0</f>
        <v>0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21.75" customHeight="1">
      <c r="A19" s="15" t="s">
        <v>47</v>
      </c>
      <c r="B19" s="20">
        <f>6204187500.57</f>
        <v>6204187500.57</v>
      </c>
      <c r="C19" s="20">
        <f>6204187500.57</f>
        <v>6204187500.57</v>
      </c>
      <c r="D19" s="20">
        <f>252845201.9</f>
        <v>252845201.9</v>
      </c>
      <c r="E19" s="20">
        <f>187711936.58</f>
        <v>187711936.58</v>
      </c>
      <c r="F19" s="20">
        <f>25206370.35</f>
        <v>25206370.35</v>
      </c>
      <c r="G19" s="20">
        <f>39926894.97</f>
        <v>39926894.97</v>
      </c>
      <c r="H19" s="20">
        <f>0</f>
        <v>0</v>
      </c>
      <c r="I19" s="20">
        <f>0</f>
        <v>0</v>
      </c>
      <c r="J19" s="20">
        <f>5845986842.48</f>
        <v>5845986842.48</v>
      </c>
      <c r="K19" s="20">
        <f>101909830.24</f>
        <v>101909830.24</v>
      </c>
      <c r="L19" s="20">
        <f>3110632.31</f>
        <v>3110632.31</v>
      </c>
      <c r="M19" s="20">
        <f>298049.2</f>
        <v>298049.2</v>
      </c>
      <c r="N19" s="20">
        <f>36944.44</f>
        <v>36944.44</v>
      </c>
      <c r="O19" s="20">
        <f>0</f>
        <v>0</v>
      </c>
      <c r="P19" s="20">
        <f>0</f>
        <v>0</v>
      </c>
      <c r="Q19" s="20">
        <f>0</f>
        <v>0</v>
      </c>
    </row>
    <row r="20" spans="1:17" ht="21.75" customHeight="1">
      <c r="A20" s="15" t="s">
        <v>48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4.75" customHeight="1">
      <c r="A21" s="18" t="s">
        <v>76</v>
      </c>
      <c r="B21" s="19">
        <f>3596234.45</f>
        <v>3596234.45</v>
      </c>
      <c r="C21" s="19">
        <f>3596234.45</f>
        <v>3596234.45</v>
      </c>
      <c r="D21" s="19">
        <f>2465380.3</f>
        <v>2465380.3</v>
      </c>
      <c r="E21" s="19">
        <f>1988526.7</f>
        <v>1988526.7</v>
      </c>
      <c r="F21" s="19">
        <f>572</f>
        <v>572</v>
      </c>
      <c r="G21" s="19">
        <f>476225.8</f>
        <v>476225.8</v>
      </c>
      <c r="H21" s="19">
        <f>55.8</f>
        <v>55.8</v>
      </c>
      <c r="I21" s="19">
        <f>0</f>
        <v>0</v>
      </c>
      <c r="J21" s="19">
        <f>2490</f>
        <v>2490</v>
      </c>
      <c r="K21" s="19">
        <f>0</f>
        <v>0</v>
      </c>
      <c r="L21" s="19">
        <f>136045.05</f>
        <v>136045.05</v>
      </c>
      <c r="M21" s="19">
        <f>990449.1</f>
        <v>990449.1</v>
      </c>
      <c r="N21" s="19">
        <f>1870</f>
        <v>1870</v>
      </c>
      <c r="O21" s="19">
        <f>0</f>
        <v>0</v>
      </c>
      <c r="P21" s="19">
        <f>0</f>
        <v>0</v>
      </c>
      <c r="Q21" s="19">
        <f>0</f>
        <v>0</v>
      </c>
    </row>
    <row r="22" spans="1:17" ht="22.5">
      <c r="A22" s="15" t="s">
        <v>49</v>
      </c>
      <c r="B22" s="20">
        <f>136789.05</f>
        <v>136789.05</v>
      </c>
      <c r="C22" s="20">
        <f>136789.05</f>
        <v>136789.05</v>
      </c>
      <c r="D22" s="20">
        <f>0</f>
        <v>0</v>
      </c>
      <c r="E22" s="20">
        <f>0</f>
        <v>0</v>
      </c>
      <c r="F22" s="20">
        <f>0</f>
        <v>0</v>
      </c>
      <c r="G22" s="20">
        <f>0</f>
        <v>0</v>
      </c>
      <c r="H22" s="20">
        <f>0</f>
        <v>0</v>
      </c>
      <c r="I22" s="20">
        <f>0</f>
        <v>0</v>
      </c>
      <c r="J22" s="20">
        <f>0</f>
        <v>0</v>
      </c>
      <c r="K22" s="20">
        <f>0</f>
        <v>0</v>
      </c>
      <c r="L22" s="20">
        <f>136045.05</f>
        <v>136045.05</v>
      </c>
      <c r="M22" s="20">
        <f>345</f>
        <v>345</v>
      </c>
      <c r="N22" s="20">
        <f>399</f>
        <v>399</v>
      </c>
      <c r="O22" s="20">
        <f>0</f>
        <v>0</v>
      </c>
      <c r="P22" s="20">
        <f>0</f>
        <v>0</v>
      </c>
      <c r="Q22" s="20">
        <f>0</f>
        <v>0</v>
      </c>
    </row>
    <row r="23" spans="1:17" ht="23.25" customHeight="1">
      <c r="A23" s="15" t="s">
        <v>50</v>
      </c>
      <c r="B23" s="20">
        <f>3459445.4</f>
        <v>3459445.4</v>
      </c>
      <c r="C23" s="20">
        <f>3459445.4</f>
        <v>3459445.4</v>
      </c>
      <c r="D23" s="20">
        <f>2465380.3</f>
        <v>2465380.3</v>
      </c>
      <c r="E23" s="20">
        <f>1988526.7</f>
        <v>1988526.7</v>
      </c>
      <c r="F23" s="20">
        <f>572</f>
        <v>572</v>
      </c>
      <c r="G23" s="20">
        <f>476225.8</f>
        <v>476225.8</v>
      </c>
      <c r="H23" s="20">
        <f>55.8</f>
        <v>55.8</v>
      </c>
      <c r="I23" s="20">
        <f>0</f>
        <v>0</v>
      </c>
      <c r="J23" s="20">
        <f>2490</f>
        <v>2490</v>
      </c>
      <c r="K23" s="20">
        <f>0</f>
        <v>0</v>
      </c>
      <c r="L23" s="20">
        <f>0</f>
        <v>0</v>
      </c>
      <c r="M23" s="20">
        <f>990104.1</f>
        <v>990104.1</v>
      </c>
      <c r="N23" s="20">
        <f>1471</f>
        <v>1471</v>
      </c>
      <c r="O23" s="20">
        <f>0</f>
        <v>0</v>
      </c>
      <c r="P23" s="20">
        <f>0</f>
        <v>0</v>
      </c>
      <c r="Q23" s="20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3" ht="45.75" customHeight="1">
      <c r="A27" s="29" t="s">
        <v>78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9" spans="1:13" ht="13.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1" spans="1:17" ht="13.5" customHeight="1">
      <c r="A31" s="72" t="s">
        <v>0</v>
      </c>
      <c r="B31" s="30" t="s">
        <v>9</v>
      </c>
      <c r="C31" s="75" t="s">
        <v>11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75" t="s">
        <v>21</v>
      </c>
      <c r="P31" s="76"/>
      <c r="Q31" s="77"/>
    </row>
    <row r="32" spans="1:17" ht="13.5" customHeight="1">
      <c r="A32" s="73"/>
      <c r="B32" s="31"/>
      <c r="C32" s="31" t="s">
        <v>10</v>
      </c>
      <c r="D32" s="28" t="s">
        <v>12</v>
      </c>
      <c r="E32" s="28" t="s">
        <v>22</v>
      </c>
      <c r="F32" s="28" t="s">
        <v>23</v>
      </c>
      <c r="G32" s="28" t="s">
        <v>68</v>
      </c>
      <c r="H32" s="28" t="s">
        <v>25</v>
      </c>
      <c r="I32" s="28" t="s">
        <v>1</v>
      </c>
      <c r="J32" s="28" t="s">
        <v>13</v>
      </c>
      <c r="K32" s="28" t="s">
        <v>14</v>
      </c>
      <c r="L32" s="28" t="s">
        <v>15</v>
      </c>
      <c r="M32" s="28" t="s">
        <v>16</v>
      </c>
      <c r="N32" s="33" t="s">
        <v>17</v>
      </c>
      <c r="O32" s="28" t="s">
        <v>18</v>
      </c>
      <c r="P32" s="28" t="s">
        <v>19</v>
      </c>
      <c r="Q32" s="30" t="s">
        <v>20</v>
      </c>
    </row>
    <row r="33" spans="1:17" ht="13.5" customHeight="1">
      <c r="A33" s="73"/>
      <c r="B33" s="31"/>
      <c r="C33" s="3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3"/>
      <c r="O33" s="28"/>
      <c r="P33" s="28"/>
      <c r="Q33" s="31"/>
    </row>
    <row r="34" spans="1:17" ht="11.25" customHeight="1">
      <c r="A34" s="73"/>
      <c r="B34" s="31"/>
      <c r="C34" s="3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3"/>
      <c r="O34" s="28"/>
      <c r="P34" s="28"/>
      <c r="Q34" s="31"/>
    </row>
    <row r="35" spans="1:17" ht="41.25" customHeight="1">
      <c r="A35" s="74"/>
      <c r="B35" s="32"/>
      <c r="C35" s="3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3"/>
      <c r="O35" s="28"/>
      <c r="P35" s="28"/>
      <c r="Q35" s="32"/>
    </row>
    <row r="36" spans="1:17" ht="15.75" customHeight="1">
      <c r="A36" s="10">
        <v>1</v>
      </c>
      <c r="B36" s="10">
        <v>2</v>
      </c>
      <c r="C36" s="10">
        <v>3</v>
      </c>
      <c r="D36" s="10">
        <v>4</v>
      </c>
      <c r="E36" s="10">
        <v>5</v>
      </c>
      <c r="F36" s="10">
        <v>6</v>
      </c>
      <c r="G36" s="10">
        <v>7</v>
      </c>
      <c r="H36" s="10">
        <v>8</v>
      </c>
      <c r="I36" s="10">
        <v>9</v>
      </c>
      <c r="J36" s="10">
        <v>10</v>
      </c>
      <c r="K36" s="10">
        <v>11</v>
      </c>
      <c r="L36" s="10">
        <v>12</v>
      </c>
      <c r="M36" s="10">
        <v>13</v>
      </c>
      <c r="N36" s="10">
        <v>14</v>
      </c>
      <c r="O36" s="10">
        <v>15</v>
      </c>
      <c r="P36" s="10">
        <v>16</v>
      </c>
      <c r="Q36" s="10">
        <v>17</v>
      </c>
    </row>
    <row r="37" spans="1:17" ht="12" customHeight="1">
      <c r="A37" s="10"/>
      <c r="B37" s="78" t="s">
        <v>73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7" ht="27.75" customHeight="1" hidden="1">
      <c r="A38" s="11" t="s">
        <v>26</v>
      </c>
      <c r="B38" s="12">
        <f>0</f>
        <v>0</v>
      </c>
      <c r="C38" s="12">
        <f>0</f>
        <v>0</v>
      </c>
      <c r="D38" s="12">
        <f>0</f>
        <v>0</v>
      </c>
      <c r="E38" s="12">
        <f>0</f>
        <v>0</v>
      </c>
      <c r="F38" s="12">
        <f>0</f>
        <v>0</v>
      </c>
      <c r="G38" s="12">
        <f>0</f>
        <v>0</v>
      </c>
      <c r="H38" s="12">
        <f>0</f>
        <v>0</v>
      </c>
      <c r="I38" s="12">
        <f>0</f>
        <v>0</v>
      </c>
      <c r="J38" s="12">
        <f>0</f>
        <v>0</v>
      </c>
      <c r="K38" s="12">
        <f>0</f>
        <v>0</v>
      </c>
      <c r="L38" s="12">
        <f>0</f>
        <v>0</v>
      </c>
      <c r="M38" s="12">
        <f>0</f>
        <v>0</v>
      </c>
      <c r="N38" s="12">
        <f>0</f>
        <v>0</v>
      </c>
      <c r="O38" s="12">
        <f>0</f>
        <v>0</v>
      </c>
      <c r="P38" s="12">
        <f>0</f>
        <v>0</v>
      </c>
      <c r="Q38" s="12">
        <f>0</f>
        <v>0</v>
      </c>
    </row>
    <row r="39" spans="1:17" ht="30" customHeight="1">
      <c r="A39" s="23" t="s">
        <v>38</v>
      </c>
      <c r="B39" s="21">
        <f>50000</f>
        <v>50000</v>
      </c>
      <c r="C39" s="21">
        <f>50000</f>
        <v>50000</v>
      </c>
      <c r="D39" s="21">
        <f>50000</f>
        <v>50000</v>
      </c>
      <c r="E39" s="21">
        <f>50000</f>
        <v>50000</v>
      </c>
      <c r="F39" s="21">
        <f>0</f>
        <v>0</v>
      </c>
      <c r="G39" s="21">
        <f>0</f>
        <v>0</v>
      </c>
      <c r="H39" s="21">
        <f>0</f>
        <v>0</v>
      </c>
      <c r="I39" s="21">
        <f>0</f>
        <v>0</v>
      </c>
      <c r="J39" s="21">
        <f>0</f>
        <v>0</v>
      </c>
      <c r="K39" s="21">
        <f>0</f>
        <v>0</v>
      </c>
      <c r="L39" s="21">
        <f>0</f>
        <v>0</v>
      </c>
      <c r="M39" s="21">
        <f>0</f>
        <v>0</v>
      </c>
      <c r="N39" s="21">
        <f>0</f>
        <v>0</v>
      </c>
      <c r="O39" s="21">
        <f>0</f>
        <v>0</v>
      </c>
      <c r="P39" s="21">
        <f>0</f>
        <v>0</v>
      </c>
      <c r="Q39" s="21">
        <f>0</f>
        <v>0</v>
      </c>
    </row>
    <row r="40" spans="1:17" ht="25.5" customHeight="1">
      <c r="A40" s="16" t="s">
        <v>27</v>
      </c>
      <c r="B40" s="22">
        <f>0</f>
        <v>0</v>
      </c>
      <c r="C40" s="22">
        <f>0</f>
        <v>0</v>
      </c>
      <c r="D40" s="22">
        <f>0</f>
        <v>0</v>
      </c>
      <c r="E40" s="22">
        <f>0</f>
        <v>0</v>
      </c>
      <c r="F40" s="22">
        <f>0</f>
        <v>0</v>
      </c>
      <c r="G40" s="22">
        <f>0</f>
        <v>0</v>
      </c>
      <c r="H40" s="22">
        <f>0</f>
        <v>0</v>
      </c>
      <c r="I40" s="22">
        <f>0</f>
        <v>0</v>
      </c>
      <c r="J40" s="22">
        <f>0</f>
        <v>0</v>
      </c>
      <c r="K40" s="22">
        <f>0</f>
        <v>0</v>
      </c>
      <c r="L40" s="22">
        <f>0</f>
        <v>0</v>
      </c>
      <c r="M40" s="22">
        <f>0</f>
        <v>0</v>
      </c>
      <c r="N40" s="22">
        <f>0</f>
        <v>0</v>
      </c>
      <c r="O40" s="22">
        <f>0</f>
        <v>0</v>
      </c>
      <c r="P40" s="22">
        <f>0</f>
        <v>0</v>
      </c>
      <c r="Q40" s="22">
        <f>0</f>
        <v>0</v>
      </c>
    </row>
    <row r="41" spans="1:17" ht="25.5" customHeight="1">
      <c r="A41" s="16" t="s">
        <v>28</v>
      </c>
      <c r="B41" s="22">
        <f>50000</f>
        <v>50000</v>
      </c>
      <c r="C41" s="22">
        <f>50000</f>
        <v>50000</v>
      </c>
      <c r="D41" s="22">
        <f>50000</f>
        <v>50000</v>
      </c>
      <c r="E41" s="22">
        <f>50000</f>
        <v>50000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0</f>
        <v>0</v>
      </c>
      <c r="M41" s="22">
        <f>0</f>
        <v>0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30" customHeight="1">
      <c r="A42" s="23" t="s">
        <v>39</v>
      </c>
      <c r="B42" s="21">
        <f>134629147.96</f>
        <v>134629147.96</v>
      </c>
      <c r="C42" s="21">
        <f>134629147.96</f>
        <v>134629147.96</v>
      </c>
      <c r="D42" s="21">
        <f>82514876.07</f>
        <v>82514876.07</v>
      </c>
      <c r="E42" s="21">
        <f>207019.26</f>
        <v>207019.26</v>
      </c>
      <c r="F42" s="21">
        <f>2167319.1</f>
        <v>2167319.1</v>
      </c>
      <c r="G42" s="21">
        <f>80140537.71</f>
        <v>80140537.71</v>
      </c>
      <c r="H42" s="21">
        <f>0</f>
        <v>0</v>
      </c>
      <c r="I42" s="21">
        <f>0</f>
        <v>0</v>
      </c>
      <c r="J42" s="21">
        <f>224828.44</f>
        <v>224828.44</v>
      </c>
      <c r="K42" s="21">
        <f>5942.94</f>
        <v>5942.94</v>
      </c>
      <c r="L42" s="21">
        <f>33248367.79</f>
        <v>33248367.79</v>
      </c>
      <c r="M42" s="21">
        <f>17114516.42</f>
        <v>17114516.42</v>
      </c>
      <c r="N42" s="21">
        <f>1520616.3</f>
        <v>1520616.3</v>
      </c>
      <c r="O42" s="21">
        <f>0</f>
        <v>0</v>
      </c>
      <c r="P42" s="21">
        <f>0</f>
        <v>0</v>
      </c>
      <c r="Q42" s="21">
        <f>0</f>
        <v>0</v>
      </c>
    </row>
    <row r="43" spans="1:17" ht="25.5" customHeight="1">
      <c r="A43" s="16" t="s">
        <v>29</v>
      </c>
      <c r="B43" s="22">
        <f>35303124.6</f>
        <v>35303124.6</v>
      </c>
      <c r="C43" s="22">
        <f>35303124.6</f>
        <v>35303124.6</v>
      </c>
      <c r="D43" s="22">
        <f>29448281.51</f>
        <v>29448281.51</v>
      </c>
      <c r="E43" s="22">
        <f>0</f>
        <v>0</v>
      </c>
      <c r="F43" s="22">
        <f>0</f>
        <v>0</v>
      </c>
      <c r="G43" s="22">
        <f>29448281.51</f>
        <v>29448281.51</v>
      </c>
      <c r="H43" s="22">
        <f>0</f>
        <v>0</v>
      </c>
      <c r="I43" s="22">
        <f>0</f>
        <v>0</v>
      </c>
      <c r="J43" s="22">
        <f>224828.44</f>
        <v>224828.44</v>
      </c>
      <c r="K43" s="22">
        <f>0</f>
        <v>0</v>
      </c>
      <c r="L43" s="22">
        <f>4631086.52</f>
        <v>4631086.52</v>
      </c>
      <c r="M43" s="22">
        <f>948928.13</f>
        <v>948928.13</v>
      </c>
      <c r="N43" s="22">
        <f>50000</f>
        <v>50000</v>
      </c>
      <c r="O43" s="22">
        <f>0</f>
        <v>0</v>
      </c>
      <c r="P43" s="22">
        <f>0</f>
        <v>0</v>
      </c>
      <c r="Q43" s="22">
        <f>0</f>
        <v>0</v>
      </c>
    </row>
    <row r="44" spans="1:17" ht="25.5" customHeight="1">
      <c r="A44" s="16" t="s">
        <v>30</v>
      </c>
      <c r="B44" s="22">
        <f>99326023.36</f>
        <v>99326023.36</v>
      </c>
      <c r="C44" s="22">
        <f>99326023.36</f>
        <v>99326023.36</v>
      </c>
      <c r="D44" s="22">
        <f>53066594.56</f>
        <v>53066594.56</v>
      </c>
      <c r="E44" s="22">
        <f>207019.26</f>
        <v>207019.26</v>
      </c>
      <c r="F44" s="22">
        <f>2167319.1</f>
        <v>2167319.1</v>
      </c>
      <c r="G44" s="22">
        <f>50692256.2</f>
        <v>50692256.2</v>
      </c>
      <c r="H44" s="22">
        <f>0</f>
        <v>0</v>
      </c>
      <c r="I44" s="22">
        <f>0</f>
        <v>0</v>
      </c>
      <c r="J44" s="22">
        <f>0</f>
        <v>0</v>
      </c>
      <c r="K44" s="22">
        <f>5942.94</f>
        <v>5942.94</v>
      </c>
      <c r="L44" s="22">
        <f>28617281.27</f>
        <v>28617281.27</v>
      </c>
      <c r="M44" s="22">
        <f>16165588.29</f>
        <v>16165588.29</v>
      </c>
      <c r="N44" s="22">
        <f>1470616.3</f>
        <v>1470616.3</v>
      </c>
      <c r="O44" s="22">
        <f>0</f>
        <v>0</v>
      </c>
      <c r="P44" s="22">
        <f>0</f>
        <v>0</v>
      </c>
      <c r="Q44" s="22">
        <f>0</f>
        <v>0</v>
      </c>
    </row>
    <row r="45" spans="1:17" ht="30" customHeight="1">
      <c r="A45" s="23" t="s">
        <v>40</v>
      </c>
      <c r="B45" s="21">
        <f>3602174003.97</f>
        <v>3602174003.97</v>
      </c>
      <c r="C45" s="21">
        <f>3602174003.97</f>
        <v>3602174003.97</v>
      </c>
      <c r="D45" s="21">
        <f>3309358.88</f>
        <v>3309358.88</v>
      </c>
      <c r="E45" s="21">
        <f>17809</f>
        <v>17809</v>
      </c>
      <c r="F45" s="21">
        <f>7309.35</f>
        <v>7309.35</v>
      </c>
      <c r="G45" s="21">
        <f>3284240.53</f>
        <v>3284240.53</v>
      </c>
      <c r="H45" s="21">
        <f>0</f>
        <v>0</v>
      </c>
      <c r="I45" s="21">
        <f>1380012.49</f>
        <v>1380012.49</v>
      </c>
      <c r="J45" s="21">
        <f>3597337972.24</f>
        <v>3597337972.24</v>
      </c>
      <c r="K45" s="21">
        <f>15242</f>
        <v>15242</v>
      </c>
      <c r="L45" s="21">
        <f>24020.98</f>
        <v>24020.98</v>
      </c>
      <c r="M45" s="21">
        <f>2000</f>
        <v>2000</v>
      </c>
      <c r="N45" s="21">
        <f>105397.38</f>
        <v>105397.38</v>
      </c>
      <c r="O45" s="21">
        <f>0</f>
        <v>0</v>
      </c>
      <c r="P45" s="21">
        <f>0</f>
        <v>0</v>
      </c>
      <c r="Q45" s="21">
        <f>0</f>
        <v>0</v>
      </c>
    </row>
    <row r="46" spans="1:17" ht="25.5" customHeight="1">
      <c r="A46" s="16" t="s">
        <v>31</v>
      </c>
      <c r="B46" s="22">
        <f>3284240.53</f>
        <v>3284240.53</v>
      </c>
      <c r="C46" s="22">
        <f>3284240.53</f>
        <v>3284240.53</v>
      </c>
      <c r="D46" s="22">
        <f>3284240.53</f>
        <v>3284240.53</v>
      </c>
      <c r="E46" s="22">
        <f>0</f>
        <v>0</v>
      </c>
      <c r="F46" s="22">
        <f>0</f>
        <v>0</v>
      </c>
      <c r="G46" s="22">
        <f>3284240.53</f>
        <v>3284240.53</v>
      </c>
      <c r="H46" s="22">
        <f>0</f>
        <v>0</v>
      </c>
      <c r="I46" s="22">
        <f>0</f>
        <v>0</v>
      </c>
      <c r="J46" s="22">
        <f>0</f>
        <v>0</v>
      </c>
      <c r="K46" s="22">
        <f>0</f>
        <v>0</v>
      </c>
      <c r="L46" s="22">
        <f>0</f>
        <v>0</v>
      </c>
      <c r="M46" s="22">
        <f>0</f>
        <v>0</v>
      </c>
      <c r="N46" s="22">
        <f>0</f>
        <v>0</v>
      </c>
      <c r="O46" s="22">
        <f>0</f>
        <v>0</v>
      </c>
      <c r="P46" s="22">
        <f>0</f>
        <v>0</v>
      </c>
      <c r="Q46" s="22">
        <f>0</f>
        <v>0</v>
      </c>
    </row>
    <row r="47" spans="1:17" ht="25.5" customHeight="1">
      <c r="A47" s="16" t="s">
        <v>32</v>
      </c>
      <c r="B47" s="22">
        <f>3169015143.77</f>
        <v>3169015143.77</v>
      </c>
      <c r="C47" s="22">
        <f>3169015143.77</f>
        <v>3169015143.77</v>
      </c>
      <c r="D47" s="22">
        <f>7309.35</f>
        <v>7309.35</v>
      </c>
      <c r="E47" s="22">
        <f>0</f>
        <v>0</v>
      </c>
      <c r="F47" s="22">
        <f>7309.35</f>
        <v>7309.35</v>
      </c>
      <c r="G47" s="22">
        <f>0</f>
        <v>0</v>
      </c>
      <c r="H47" s="22">
        <f>0</f>
        <v>0</v>
      </c>
      <c r="I47" s="22">
        <f>1380012.49</f>
        <v>1380012.49</v>
      </c>
      <c r="J47" s="22">
        <f>3167519315.55</f>
        <v>3167519315.55</v>
      </c>
      <c r="K47" s="22">
        <f>0</f>
        <v>0</v>
      </c>
      <c r="L47" s="22">
        <f>3109</f>
        <v>3109</v>
      </c>
      <c r="M47" s="22">
        <f>0</f>
        <v>0</v>
      </c>
      <c r="N47" s="22">
        <f>105397.38</f>
        <v>105397.38</v>
      </c>
      <c r="O47" s="22">
        <f>0</f>
        <v>0</v>
      </c>
      <c r="P47" s="22">
        <f>0</f>
        <v>0</v>
      </c>
      <c r="Q47" s="22">
        <f>0</f>
        <v>0</v>
      </c>
    </row>
    <row r="48" spans="1:17" ht="25.5" customHeight="1">
      <c r="A48" s="16" t="s">
        <v>33</v>
      </c>
      <c r="B48" s="22">
        <f>429874619.67</f>
        <v>429874619.67</v>
      </c>
      <c r="C48" s="22">
        <f>429874619.67</f>
        <v>429874619.67</v>
      </c>
      <c r="D48" s="22">
        <f>17809</f>
        <v>17809</v>
      </c>
      <c r="E48" s="22">
        <f>17809</f>
        <v>17809</v>
      </c>
      <c r="F48" s="22">
        <f>0</f>
        <v>0</v>
      </c>
      <c r="G48" s="22">
        <f>0</f>
        <v>0</v>
      </c>
      <c r="H48" s="22">
        <f>0</f>
        <v>0</v>
      </c>
      <c r="I48" s="22">
        <f>0</f>
        <v>0</v>
      </c>
      <c r="J48" s="22">
        <f>429818656.69</f>
        <v>429818656.69</v>
      </c>
      <c r="K48" s="22">
        <f>15242</f>
        <v>15242</v>
      </c>
      <c r="L48" s="22">
        <f>20911.98</f>
        <v>20911.98</v>
      </c>
      <c r="M48" s="22">
        <f>2000</f>
        <v>2000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30" customHeight="1">
      <c r="A49" s="23" t="s">
        <v>41</v>
      </c>
      <c r="B49" s="21">
        <f>533085062.22</f>
        <v>533085062.22</v>
      </c>
      <c r="C49" s="21">
        <f>532129240.95</f>
        <v>532129240.95</v>
      </c>
      <c r="D49" s="21">
        <f>29559124.28</f>
        <v>29559124.28</v>
      </c>
      <c r="E49" s="21">
        <f>5892253.19</f>
        <v>5892253.19</v>
      </c>
      <c r="F49" s="21">
        <f>50990.74</f>
        <v>50990.74</v>
      </c>
      <c r="G49" s="21">
        <f>23015762.03</f>
        <v>23015762.03</v>
      </c>
      <c r="H49" s="21">
        <f>600118.32</f>
        <v>600118.32</v>
      </c>
      <c r="I49" s="21">
        <f>0</f>
        <v>0</v>
      </c>
      <c r="J49" s="21">
        <f>351962.46</f>
        <v>351962.46</v>
      </c>
      <c r="K49" s="21">
        <f>386703.59</f>
        <v>386703.59</v>
      </c>
      <c r="L49" s="21">
        <f>139595471.82</f>
        <v>139595471.82</v>
      </c>
      <c r="M49" s="21">
        <f>357638361.67</f>
        <v>357638361.67</v>
      </c>
      <c r="N49" s="21">
        <f>4597617.13</f>
        <v>4597617.13</v>
      </c>
      <c r="O49" s="21">
        <f>955821.27</f>
        <v>955821.27</v>
      </c>
      <c r="P49" s="21">
        <f>377508.11</f>
        <v>377508.11</v>
      </c>
      <c r="Q49" s="21">
        <f>578313.16</f>
        <v>578313.16</v>
      </c>
    </row>
    <row r="50" spans="1:17" ht="25.5" customHeight="1">
      <c r="A50" s="16" t="s">
        <v>34</v>
      </c>
      <c r="B50" s="22">
        <f>120124678.92</f>
        <v>120124678.92</v>
      </c>
      <c r="C50" s="22">
        <f>120063798.81</f>
        <v>120063798.81</v>
      </c>
      <c r="D50" s="22">
        <f>3352111.27</f>
        <v>3352111.27</v>
      </c>
      <c r="E50" s="22">
        <f>34437.35</f>
        <v>34437.35</v>
      </c>
      <c r="F50" s="22">
        <f>10496.63</f>
        <v>10496.63</v>
      </c>
      <c r="G50" s="22">
        <f>2716911.06</f>
        <v>2716911.06</v>
      </c>
      <c r="H50" s="22">
        <f>590266.23</f>
        <v>590266.23</v>
      </c>
      <c r="I50" s="22">
        <f>0</f>
        <v>0</v>
      </c>
      <c r="J50" s="22">
        <f>348892.65</f>
        <v>348892.65</v>
      </c>
      <c r="K50" s="22">
        <f>307076.74</f>
        <v>307076.74</v>
      </c>
      <c r="L50" s="22">
        <f>56454161.32</f>
        <v>56454161.32</v>
      </c>
      <c r="M50" s="22">
        <f>58370055.32</f>
        <v>58370055.32</v>
      </c>
      <c r="N50" s="22">
        <f>1231501.51</f>
        <v>1231501.51</v>
      </c>
      <c r="O50" s="22">
        <f>60880.11</f>
        <v>60880.11</v>
      </c>
      <c r="P50" s="22">
        <f>41932.95</f>
        <v>41932.95</v>
      </c>
      <c r="Q50" s="22">
        <f>18947.16</f>
        <v>18947.16</v>
      </c>
    </row>
    <row r="51" spans="1:17" ht="25.5" customHeight="1">
      <c r="A51" s="16" t="s">
        <v>35</v>
      </c>
      <c r="B51" s="22">
        <f>412960383.3</f>
        <v>412960383.3</v>
      </c>
      <c r="C51" s="22">
        <f>412065442.14</f>
        <v>412065442.14</v>
      </c>
      <c r="D51" s="22">
        <f>26207013.01</f>
        <v>26207013.01</v>
      </c>
      <c r="E51" s="22">
        <f>5857815.84</f>
        <v>5857815.84</v>
      </c>
      <c r="F51" s="22">
        <f>40494.11</f>
        <v>40494.11</v>
      </c>
      <c r="G51" s="22">
        <f>20298850.97</f>
        <v>20298850.97</v>
      </c>
      <c r="H51" s="22">
        <f>9852.09</f>
        <v>9852.09</v>
      </c>
      <c r="I51" s="22">
        <f>0</f>
        <v>0</v>
      </c>
      <c r="J51" s="22">
        <f>3069.81</f>
        <v>3069.81</v>
      </c>
      <c r="K51" s="22">
        <f>79626.85</f>
        <v>79626.85</v>
      </c>
      <c r="L51" s="22">
        <f>83141310.5</f>
        <v>83141310.5</v>
      </c>
      <c r="M51" s="22">
        <f>299268306.35</f>
        <v>299268306.35</v>
      </c>
      <c r="N51" s="22">
        <f>3366115.62</f>
        <v>3366115.62</v>
      </c>
      <c r="O51" s="22">
        <f>894941.16</f>
        <v>894941.16</v>
      </c>
      <c r="P51" s="22">
        <f>335575.16</f>
        <v>335575.16</v>
      </c>
      <c r="Q51" s="22">
        <f>559366</f>
        <v>559366</v>
      </c>
    </row>
    <row r="52" spans="1:17" ht="30" customHeight="1">
      <c r="A52" s="23" t="s">
        <v>42</v>
      </c>
      <c r="B52" s="21">
        <f>554855016.12</f>
        <v>554855016.12</v>
      </c>
      <c r="C52" s="21">
        <f>554779121.82</f>
        <v>554779121.82</v>
      </c>
      <c r="D52" s="21">
        <f>314247860</f>
        <v>314247860</v>
      </c>
      <c r="E52" s="21">
        <f>167399551.03</f>
        <v>167399551.03</v>
      </c>
      <c r="F52" s="21">
        <f>4145369.93</f>
        <v>4145369.93</v>
      </c>
      <c r="G52" s="21">
        <f>136528831.23</f>
        <v>136528831.23</v>
      </c>
      <c r="H52" s="21">
        <f>6174107.81</f>
        <v>6174107.81</v>
      </c>
      <c r="I52" s="21">
        <f>0</f>
        <v>0</v>
      </c>
      <c r="J52" s="21">
        <f>2254477.44</f>
        <v>2254477.44</v>
      </c>
      <c r="K52" s="21">
        <f>4648791</f>
        <v>4648791</v>
      </c>
      <c r="L52" s="21">
        <f>152267390.35</f>
        <v>152267390.35</v>
      </c>
      <c r="M52" s="21">
        <f>77273088.91</f>
        <v>77273088.91</v>
      </c>
      <c r="N52" s="21">
        <f>4087514.12</f>
        <v>4087514.12</v>
      </c>
      <c r="O52" s="21">
        <f>75894.3</f>
        <v>75894.3</v>
      </c>
      <c r="P52" s="21">
        <f>72763.71</f>
        <v>72763.71</v>
      </c>
      <c r="Q52" s="21">
        <f>3130.59</f>
        <v>3130.59</v>
      </c>
    </row>
    <row r="53" spans="1:17" ht="31.5" customHeight="1">
      <c r="A53" s="16" t="s">
        <v>36</v>
      </c>
      <c r="B53" s="22">
        <f>83324687.98</f>
        <v>83324687.98</v>
      </c>
      <c r="C53" s="22">
        <f>83277728.51</f>
        <v>83277728.51</v>
      </c>
      <c r="D53" s="22">
        <f>36196753.54</f>
        <v>36196753.54</v>
      </c>
      <c r="E53" s="22">
        <f>1790429.14</f>
        <v>1790429.14</v>
      </c>
      <c r="F53" s="22">
        <f>160933.08</f>
        <v>160933.08</v>
      </c>
      <c r="G53" s="22">
        <f>31987122.36</f>
        <v>31987122.36</v>
      </c>
      <c r="H53" s="22">
        <f>2258268.96</f>
        <v>2258268.96</v>
      </c>
      <c r="I53" s="22">
        <f>0</f>
        <v>0</v>
      </c>
      <c r="J53" s="22">
        <f>70227.47</f>
        <v>70227.47</v>
      </c>
      <c r="K53" s="22">
        <f>126824.61</f>
        <v>126824.61</v>
      </c>
      <c r="L53" s="22">
        <f>23932536.53</f>
        <v>23932536.53</v>
      </c>
      <c r="M53" s="22">
        <f>21862384.87</f>
        <v>21862384.87</v>
      </c>
      <c r="N53" s="22">
        <f>1089001.49</f>
        <v>1089001.49</v>
      </c>
      <c r="O53" s="22">
        <f>46959.47</f>
        <v>46959.47</v>
      </c>
      <c r="P53" s="22">
        <f>46959.47</f>
        <v>46959.47</v>
      </c>
      <c r="Q53" s="22">
        <f>0</f>
        <v>0</v>
      </c>
    </row>
    <row r="54" spans="1:17" ht="35.25" customHeight="1">
      <c r="A54" s="16" t="s">
        <v>77</v>
      </c>
      <c r="B54" s="22">
        <f>120479293.41</f>
        <v>120479293.41</v>
      </c>
      <c r="C54" s="22">
        <f>120479293.41</f>
        <v>120479293.41</v>
      </c>
      <c r="D54" s="22">
        <f>118696855.54</f>
        <v>118696855.54</v>
      </c>
      <c r="E54" s="22">
        <f>115952586.15</f>
        <v>115952586.15</v>
      </c>
      <c r="F54" s="22">
        <f>2211179.41</f>
        <v>2211179.41</v>
      </c>
      <c r="G54" s="22">
        <f>263001.85</f>
        <v>263001.85</v>
      </c>
      <c r="H54" s="22">
        <f>270088.13</f>
        <v>270088.13</v>
      </c>
      <c r="I54" s="22">
        <f>0</f>
        <v>0</v>
      </c>
      <c r="J54" s="22">
        <f>1007230.81</f>
        <v>1007230.81</v>
      </c>
      <c r="K54" s="22">
        <f>13526.99</f>
        <v>13526.99</v>
      </c>
      <c r="L54" s="22">
        <f>537434.12</f>
        <v>537434.12</v>
      </c>
      <c r="M54" s="22">
        <f>220652.81</f>
        <v>220652.81</v>
      </c>
      <c r="N54" s="22">
        <f>3593.14</f>
        <v>3593.14</v>
      </c>
      <c r="O54" s="22">
        <f>0</f>
        <v>0</v>
      </c>
      <c r="P54" s="22">
        <f>0</f>
        <v>0</v>
      </c>
      <c r="Q54" s="22">
        <f>0</f>
        <v>0</v>
      </c>
    </row>
    <row r="55" spans="1:17" ht="31.5" customHeight="1">
      <c r="A55" s="16" t="s">
        <v>37</v>
      </c>
      <c r="B55" s="22">
        <f>351051034.73</f>
        <v>351051034.73</v>
      </c>
      <c r="C55" s="22">
        <f>351022099.9</f>
        <v>351022099.9</v>
      </c>
      <c r="D55" s="22">
        <f>159354250.92</f>
        <v>159354250.92</v>
      </c>
      <c r="E55" s="22">
        <f>49656535.74</f>
        <v>49656535.74</v>
      </c>
      <c r="F55" s="22">
        <f>1773257.44</f>
        <v>1773257.44</v>
      </c>
      <c r="G55" s="22">
        <f>104278707.02</f>
        <v>104278707.02</v>
      </c>
      <c r="H55" s="22">
        <f>3645750.72</f>
        <v>3645750.72</v>
      </c>
      <c r="I55" s="22">
        <f>0</f>
        <v>0</v>
      </c>
      <c r="J55" s="22">
        <f>1177019.16</f>
        <v>1177019.16</v>
      </c>
      <c r="K55" s="22">
        <f>4508439.4</f>
        <v>4508439.4</v>
      </c>
      <c r="L55" s="22">
        <f>127797419.7</f>
        <v>127797419.7</v>
      </c>
      <c r="M55" s="22">
        <f>55190051.23</f>
        <v>55190051.23</v>
      </c>
      <c r="N55" s="22">
        <f>2994919.49</f>
        <v>2994919.49</v>
      </c>
      <c r="O55" s="22">
        <f>28934.83</f>
        <v>28934.83</v>
      </c>
      <c r="P55" s="22">
        <f>25804.24</f>
        <v>25804.24</v>
      </c>
      <c r="Q55" s="22">
        <f>3130.59</f>
        <v>3130.59</v>
      </c>
    </row>
    <row r="64" spans="1:13" ht="66" customHeight="1">
      <c r="A64" s="29" t="s">
        <v>78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2:13" ht="13.5" customHeight="1">
      <c r="B65" s="39" t="s">
        <v>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7" spans="2:12" ht="13.5" customHeight="1">
      <c r="B67" s="43" t="s">
        <v>0</v>
      </c>
      <c r="C67" s="44"/>
      <c r="D67" s="44"/>
      <c r="E67" s="45"/>
      <c r="F67" s="65" t="s">
        <v>66</v>
      </c>
      <c r="G67" s="40" t="s">
        <v>72</v>
      </c>
      <c r="H67" s="54"/>
      <c r="I67" s="54"/>
      <c r="J67" s="54"/>
      <c r="K67" s="54"/>
      <c r="L67" s="41"/>
    </row>
    <row r="68" spans="2:12" ht="13.5" customHeight="1">
      <c r="B68" s="46"/>
      <c r="C68" s="47"/>
      <c r="D68" s="47"/>
      <c r="E68" s="48"/>
      <c r="F68" s="66"/>
      <c r="G68" s="68" t="s">
        <v>67</v>
      </c>
      <c r="H68" s="42" t="s">
        <v>64</v>
      </c>
      <c r="I68" s="42" t="s">
        <v>65</v>
      </c>
      <c r="J68" s="42" t="s">
        <v>68</v>
      </c>
      <c r="K68" s="42" t="s">
        <v>69</v>
      </c>
      <c r="L68" s="83" t="s">
        <v>70</v>
      </c>
    </row>
    <row r="69" spans="2:12" ht="13.5" customHeight="1">
      <c r="B69" s="46"/>
      <c r="C69" s="47"/>
      <c r="D69" s="47"/>
      <c r="E69" s="48"/>
      <c r="F69" s="66"/>
      <c r="G69" s="68"/>
      <c r="H69" s="42"/>
      <c r="I69" s="42"/>
      <c r="J69" s="42"/>
      <c r="K69" s="42"/>
      <c r="L69" s="83"/>
    </row>
    <row r="70" spans="2:12" ht="11.25" customHeight="1">
      <c r="B70" s="46"/>
      <c r="C70" s="47"/>
      <c r="D70" s="47"/>
      <c r="E70" s="48"/>
      <c r="F70" s="66"/>
      <c r="G70" s="68"/>
      <c r="H70" s="42"/>
      <c r="I70" s="42"/>
      <c r="J70" s="42"/>
      <c r="K70" s="42"/>
      <c r="L70" s="83"/>
    </row>
    <row r="71" spans="2:12" ht="11.25" customHeight="1">
      <c r="B71" s="49"/>
      <c r="C71" s="50"/>
      <c r="D71" s="50"/>
      <c r="E71" s="51"/>
      <c r="F71" s="67"/>
      <c r="G71" s="68"/>
      <c r="H71" s="42"/>
      <c r="I71" s="42"/>
      <c r="J71" s="42"/>
      <c r="K71" s="42"/>
      <c r="L71" s="83"/>
    </row>
    <row r="72" spans="2:12" ht="11.25" customHeight="1">
      <c r="B72" s="42">
        <v>1</v>
      </c>
      <c r="C72" s="42"/>
      <c r="D72" s="42"/>
      <c r="E72" s="42"/>
      <c r="F72" s="3">
        <v>2</v>
      </c>
      <c r="G72" s="3">
        <v>3</v>
      </c>
      <c r="H72" s="3">
        <v>4</v>
      </c>
      <c r="I72" s="3">
        <v>5</v>
      </c>
      <c r="J72" s="3">
        <v>6</v>
      </c>
      <c r="K72" s="3">
        <v>7</v>
      </c>
      <c r="L72" s="3">
        <v>8</v>
      </c>
    </row>
    <row r="73" spans="2:12" ht="12.75" customHeight="1">
      <c r="B73" s="42"/>
      <c r="C73" s="42"/>
      <c r="D73" s="42"/>
      <c r="E73" s="42"/>
      <c r="F73" s="40" t="s">
        <v>73</v>
      </c>
      <c r="G73" s="81"/>
      <c r="H73" s="81"/>
      <c r="I73" s="81"/>
      <c r="J73" s="81"/>
      <c r="K73" s="81"/>
      <c r="L73" s="82"/>
    </row>
    <row r="74" spans="2:12" ht="33.75" customHeight="1">
      <c r="B74" s="34" t="s">
        <v>51</v>
      </c>
      <c r="C74" s="35"/>
      <c r="D74" s="35"/>
      <c r="E74" s="36"/>
      <c r="F74" s="24">
        <f>484814232.47</f>
        <v>484814232.47</v>
      </c>
      <c r="G74" s="24">
        <f>222981762.87</f>
        <v>222981762.87</v>
      </c>
      <c r="H74" s="24">
        <f>4957684.78</f>
        <v>4957684.78</v>
      </c>
      <c r="I74" s="24">
        <f>23732397.51</f>
        <v>23732397.51</v>
      </c>
      <c r="J74" s="24">
        <f>167555843.76</f>
        <v>167555843.76</v>
      </c>
      <c r="K74" s="24">
        <f>26735836.82</f>
        <v>26735836.82</v>
      </c>
      <c r="L74" s="24">
        <f>261832469.6</f>
        <v>261832469.6</v>
      </c>
    </row>
    <row r="75" spans="2:12" ht="33.75" customHeight="1">
      <c r="B75" s="34" t="s">
        <v>52</v>
      </c>
      <c r="C75" s="35"/>
      <c r="D75" s="35"/>
      <c r="E75" s="36"/>
      <c r="F75" s="24">
        <f>0</f>
        <v>0</v>
      </c>
      <c r="G75" s="24">
        <f>0</f>
        <v>0</v>
      </c>
      <c r="H75" s="24">
        <f>0</f>
        <v>0</v>
      </c>
      <c r="I75" s="24">
        <f>0</f>
        <v>0</v>
      </c>
      <c r="J75" s="24">
        <f>0</f>
        <v>0</v>
      </c>
      <c r="K75" s="24">
        <f>0</f>
        <v>0</v>
      </c>
      <c r="L75" s="24">
        <f>0</f>
        <v>0</v>
      </c>
    </row>
    <row r="76" spans="2:12" ht="33.75" customHeight="1">
      <c r="B76" s="34" t="s">
        <v>53</v>
      </c>
      <c r="C76" s="35"/>
      <c r="D76" s="35"/>
      <c r="E76" s="36"/>
      <c r="F76" s="24">
        <f>21035886.02</f>
        <v>21035886.02</v>
      </c>
      <c r="G76" s="24">
        <f>3981750</f>
        <v>3981750</v>
      </c>
      <c r="H76" s="24">
        <f>0</f>
        <v>0</v>
      </c>
      <c r="I76" s="24">
        <f>0</f>
        <v>0</v>
      </c>
      <c r="J76" s="24">
        <f>3981750</f>
        <v>3981750</v>
      </c>
      <c r="K76" s="24">
        <f>0</f>
        <v>0</v>
      </c>
      <c r="L76" s="24">
        <f>17054136.02</f>
        <v>17054136.02</v>
      </c>
    </row>
    <row r="77" spans="2:12" ht="22.5" customHeight="1">
      <c r="B77" s="34" t="s">
        <v>54</v>
      </c>
      <c r="C77" s="35"/>
      <c r="D77" s="35"/>
      <c r="E77" s="36"/>
      <c r="F77" s="24">
        <f>41693057.88</f>
        <v>41693057.88</v>
      </c>
      <c r="G77" s="24">
        <f>28996488.61</f>
        <v>28996488.61</v>
      </c>
      <c r="H77" s="24">
        <f>0</f>
        <v>0</v>
      </c>
      <c r="I77" s="24">
        <f>1833503.01</f>
        <v>1833503.01</v>
      </c>
      <c r="J77" s="24">
        <f>27162985.6</f>
        <v>27162985.6</v>
      </c>
      <c r="K77" s="24">
        <f>0</f>
        <v>0</v>
      </c>
      <c r="L77" s="24">
        <f>12696569.27</f>
        <v>12696569.27</v>
      </c>
    </row>
    <row r="78" spans="2:12" ht="33.75" customHeight="1">
      <c r="B78" s="34" t="s">
        <v>55</v>
      </c>
      <c r="C78" s="35"/>
      <c r="D78" s="35"/>
      <c r="E78" s="36"/>
      <c r="F78" s="24">
        <f>9323144.19</f>
        <v>9323144.19</v>
      </c>
      <c r="G78" s="24">
        <f>9242865.05</f>
        <v>9242865.05</v>
      </c>
      <c r="H78" s="24">
        <f>0</f>
        <v>0</v>
      </c>
      <c r="I78" s="24">
        <f>0</f>
        <v>0</v>
      </c>
      <c r="J78" s="24">
        <f>9242865.05</f>
        <v>9242865.05</v>
      </c>
      <c r="K78" s="24">
        <f>0</f>
        <v>0</v>
      </c>
      <c r="L78" s="24">
        <f>80279.14</f>
        <v>80279.14</v>
      </c>
    </row>
    <row r="79" spans="2:12" ht="33.75" customHeight="1">
      <c r="B79" s="34" t="s">
        <v>56</v>
      </c>
      <c r="C79" s="35"/>
      <c r="D79" s="35"/>
      <c r="E79" s="36"/>
      <c r="F79" s="24">
        <f>1482615.29</f>
        <v>1482615.29</v>
      </c>
      <c r="G79" s="24">
        <f>823105.9</f>
        <v>823105.9</v>
      </c>
      <c r="H79" s="24">
        <f>0</f>
        <v>0</v>
      </c>
      <c r="I79" s="24">
        <f>0</f>
        <v>0</v>
      </c>
      <c r="J79" s="24">
        <f>823105.9</f>
        <v>823105.9</v>
      </c>
      <c r="K79" s="24">
        <f>0</f>
        <v>0</v>
      </c>
      <c r="L79" s="24">
        <f>659509.39</f>
        <v>659509.39</v>
      </c>
    </row>
    <row r="80" spans="2:12" ht="22.5" customHeight="1">
      <c r="B80" s="34" t="s">
        <v>57</v>
      </c>
      <c r="C80" s="35"/>
      <c r="D80" s="35"/>
      <c r="E80" s="36"/>
      <c r="F80" s="24">
        <f>800000</f>
        <v>800000</v>
      </c>
      <c r="G80" s="24">
        <f>800000</f>
        <v>800000</v>
      </c>
      <c r="H80" s="24">
        <f>0</f>
        <v>0</v>
      </c>
      <c r="I80" s="24">
        <f>0</f>
        <v>0</v>
      </c>
      <c r="J80" s="24">
        <f>800000</f>
        <v>800000</v>
      </c>
      <c r="K80" s="24">
        <f>0</f>
        <v>0</v>
      </c>
      <c r="L80" s="24">
        <f>0</f>
        <v>0</v>
      </c>
    </row>
    <row r="83" spans="1:13" ht="75" customHeight="1">
      <c r="A83" s="29" t="s">
        <v>78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ht="13.5" customHeight="1">
      <c r="B84" s="4"/>
    </row>
    <row r="85" spans="2:11" ht="13.5" customHeight="1">
      <c r="B85" s="5"/>
      <c r="C85" s="40"/>
      <c r="D85" s="54"/>
      <c r="E85" s="54"/>
      <c r="F85" s="41"/>
      <c r="G85" s="40" t="s">
        <v>3</v>
      </c>
      <c r="H85" s="41"/>
      <c r="I85" s="40" t="s">
        <v>4</v>
      </c>
      <c r="J85" s="41"/>
      <c r="K85" s="5"/>
    </row>
    <row r="86" spans="2:11" ht="13.5" customHeight="1">
      <c r="B86" s="6"/>
      <c r="C86" s="55" t="s">
        <v>5</v>
      </c>
      <c r="D86" s="56"/>
      <c r="E86" s="56"/>
      <c r="F86" s="57"/>
      <c r="G86" s="52">
        <f>307</f>
        <v>307</v>
      </c>
      <c r="H86" s="53"/>
      <c r="I86" s="37">
        <f>1700981368.49</f>
        <v>1700981368.49</v>
      </c>
      <c r="J86" s="38"/>
      <c r="K86" s="7"/>
    </row>
    <row r="87" spans="2:11" ht="13.5" customHeight="1">
      <c r="B87" s="6"/>
      <c r="C87" s="58" t="s">
        <v>6</v>
      </c>
      <c r="D87" s="59"/>
      <c r="E87" s="59"/>
      <c r="F87" s="60"/>
      <c r="G87" s="61">
        <f>7</f>
        <v>7</v>
      </c>
      <c r="H87" s="62"/>
      <c r="I87" s="63">
        <f>-8959800.58</f>
        <v>-8959800.58</v>
      </c>
      <c r="J87" s="64"/>
      <c r="K87" s="7"/>
    </row>
    <row r="88" spans="2:11" ht="13.5" customHeight="1">
      <c r="B88" s="6"/>
      <c r="C88" s="55" t="s">
        <v>7</v>
      </c>
      <c r="D88" s="56"/>
      <c r="E88" s="56"/>
      <c r="F88" s="57"/>
      <c r="G88" s="52">
        <f>0</f>
        <v>0</v>
      </c>
      <c r="H88" s="53"/>
      <c r="I88" s="37">
        <f>0</f>
        <v>0</v>
      </c>
      <c r="J88" s="38"/>
      <c r="K88" s="7"/>
    </row>
  </sheetData>
  <sheetProtection/>
  <mergeCells count="79">
    <mergeCell ref="B12:Q12"/>
    <mergeCell ref="B37:Q37"/>
    <mergeCell ref="B72:E72"/>
    <mergeCell ref="F73:L73"/>
    <mergeCell ref="L68:L71"/>
    <mergeCell ref="F32:F35"/>
    <mergeCell ref="G32:G35"/>
    <mergeCell ref="H32:H35"/>
    <mergeCell ref="K32:K35"/>
    <mergeCell ref="I32:I35"/>
    <mergeCell ref="J32:J35"/>
    <mergeCell ref="A31:A35"/>
    <mergeCell ref="C32:C35"/>
    <mergeCell ref="E32:E35"/>
    <mergeCell ref="B31:B35"/>
    <mergeCell ref="K68:K71"/>
    <mergeCell ref="H68:H71"/>
    <mergeCell ref="I68:I71"/>
    <mergeCell ref="J68:J71"/>
    <mergeCell ref="Q7:Q10"/>
    <mergeCell ref="C31:N31"/>
    <mergeCell ref="L7:L10"/>
    <mergeCell ref="M7:M10"/>
    <mergeCell ref="N7:N10"/>
    <mergeCell ref="P7:P10"/>
    <mergeCell ref="A27:M27"/>
    <mergeCell ref="O31:Q31"/>
    <mergeCell ref="A29:M29"/>
    <mergeCell ref="G7:G10"/>
    <mergeCell ref="F7:F10"/>
    <mergeCell ref="I7:I10"/>
    <mergeCell ref="J7:J10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B78:E78"/>
    <mergeCell ref="B75:E75"/>
    <mergeCell ref="M32:M35"/>
    <mergeCell ref="B74:E74"/>
    <mergeCell ref="F67:F71"/>
    <mergeCell ref="G68:G71"/>
    <mergeCell ref="G67:L67"/>
    <mergeCell ref="G88:H88"/>
    <mergeCell ref="I88:J88"/>
    <mergeCell ref="C85:F85"/>
    <mergeCell ref="C86:F86"/>
    <mergeCell ref="C87:F87"/>
    <mergeCell ref="C88:F88"/>
    <mergeCell ref="G86:H86"/>
    <mergeCell ref="G85:H85"/>
    <mergeCell ref="G87:H87"/>
    <mergeCell ref="I87:J87"/>
    <mergeCell ref="B79:E79"/>
    <mergeCell ref="I86:J86"/>
    <mergeCell ref="B65:M65"/>
    <mergeCell ref="I85:J85"/>
    <mergeCell ref="B73:E73"/>
    <mergeCell ref="B67:E71"/>
    <mergeCell ref="B80:E80"/>
    <mergeCell ref="A83:M83"/>
    <mergeCell ref="B76:E76"/>
    <mergeCell ref="B77:E77"/>
    <mergeCell ref="O6:Q6"/>
    <mergeCell ref="O7:O10"/>
    <mergeCell ref="A64:M64"/>
    <mergeCell ref="L32:L35"/>
    <mergeCell ref="P32:P35"/>
    <mergeCell ref="Q32:Q35"/>
    <mergeCell ref="N32:N35"/>
    <mergeCell ref="O32:O35"/>
    <mergeCell ref="D32:D35"/>
    <mergeCell ref="H7:H10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6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2009-11-20T13:10:55Z</cp:lastPrinted>
  <dcterms:created xsi:type="dcterms:W3CDTF">2001-05-17T08:58:03Z</dcterms:created>
  <dcterms:modified xsi:type="dcterms:W3CDTF">2019-05-21T11:58:51Z</dcterms:modified>
  <cp:category/>
  <cp:version/>
  <cp:contentType/>
  <cp:contentStatus/>
</cp:coreProperties>
</file>