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doch_wyd" sheetId="4" r:id="rId1"/>
  </sheets>
  <definedNames>
    <definedName name="_xlnm.Print_Area" localSheetId="0">doch_wyd!$A$1:$M$116</definedName>
  </definedNames>
  <calcPr calcId="152511"/>
</workbook>
</file>

<file path=xl/calcChain.xml><?xml version="1.0" encoding="utf-8"?>
<calcChain xmlns="http://schemas.openxmlformats.org/spreadsheetml/2006/main">
  <c r="C117" i="4" l="1"/>
  <c r="C116" i="4"/>
  <c r="C115" i="4"/>
  <c r="C114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79" i="4"/>
  <c r="H79" i="4"/>
  <c r="G79" i="4"/>
  <c r="F79" i="4"/>
  <c r="E79" i="4"/>
  <c r="D79" i="4"/>
  <c r="C79" i="4"/>
  <c r="K79" i="4" s="1"/>
  <c r="I78" i="4"/>
  <c r="H78" i="4"/>
  <c r="G78" i="4"/>
  <c r="F78" i="4"/>
  <c r="E78" i="4"/>
  <c r="D78" i="4"/>
  <c r="C78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8" i="4"/>
  <c r="H68" i="4"/>
  <c r="G68" i="4"/>
  <c r="F68" i="4"/>
  <c r="E68" i="4"/>
  <c r="D68" i="4"/>
  <c r="C68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C67" i="4" s="1"/>
  <c r="C73" i="4" s="1"/>
  <c r="I64" i="4"/>
  <c r="H64" i="4"/>
  <c r="G64" i="4"/>
  <c r="F64" i="4"/>
  <c r="E64" i="4"/>
  <c r="D64" i="4"/>
  <c r="C64" i="4"/>
  <c r="I54" i="4"/>
  <c r="H54" i="4"/>
  <c r="G54" i="4"/>
  <c r="F54" i="4"/>
  <c r="E54" i="4"/>
  <c r="D54" i="4"/>
  <c r="C54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J35" i="4" s="1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K17" i="4" s="1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J9" i="4" s="1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6" i="4" s="1"/>
  <c r="E7" i="4"/>
  <c r="E21" i="4"/>
  <c r="E53" i="4"/>
  <c r="E55" i="4" s="1"/>
  <c r="G7" i="4"/>
  <c r="G21" i="4"/>
  <c r="G53" i="4"/>
  <c r="G55" i="4" s="1"/>
  <c r="I53" i="4"/>
  <c r="I55" i="4"/>
  <c r="I7" i="4"/>
  <c r="I21" i="4"/>
  <c r="D114" i="4"/>
  <c r="B57" i="4" s="1"/>
  <c r="J40" i="4"/>
  <c r="J16" i="4"/>
  <c r="J45" i="4"/>
  <c r="J26" i="4"/>
  <c r="J10" i="4"/>
  <c r="J24" i="4"/>
  <c r="J8" i="4"/>
  <c r="J43" i="4"/>
  <c r="J29" i="4"/>
  <c r="J33" i="4"/>
  <c r="J13" i="4"/>
  <c r="J25" i="4"/>
  <c r="J41" i="4"/>
  <c r="J50" i="4"/>
  <c r="J54" i="4"/>
  <c r="J51" i="4"/>
  <c r="J42" i="4"/>
  <c r="J12" i="4"/>
  <c r="J18" i="4"/>
  <c r="J37" i="4"/>
  <c r="J48" i="4"/>
  <c r="J11" i="4"/>
  <c r="J6" i="4"/>
  <c r="J14" i="4"/>
  <c r="J38" i="4"/>
  <c r="J20" i="4"/>
  <c r="J32" i="4"/>
  <c r="J30" i="4"/>
  <c r="D74" i="4"/>
  <c r="J34" i="4"/>
  <c r="J39" i="4"/>
  <c r="J27" i="4"/>
  <c r="D53" i="4"/>
  <c r="D55" i="4"/>
  <c r="J55" i="4" s="1"/>
  <c r="J15" i="4"/>
  <c r="J28" i="4"/>
  <c r="J49" i="4"/>
  <c r="J31" i="4"/>
  <c r="J44" i="4"/>
  <c r="J36" i="4"/>
  <c r="J47" i="4"/>
  <c r="J19" i="4"/>
  <c r="J17" i="4"/>
  <c r="J53" i="4"/>
  <c r="F53" i="4"/>
  <c r="F55" i="4" s="1"/>
  <c r="F7" i="4"/>
  <c r="F21" i="4" s="1"/>
  <c r="H7" i="4"/>
  <c r="H21" i="4"/>
  <c r="H53" i="4"/>
  <c r="H55" i="4" s="1"/>
  <c r="K8" i="4"/>
  <c r="K10" i="4"/>
  <c r="K12" i="4"/>
  <c r="K14" i="4"/>
  <c r="K16" i="4"/>
  <c r="K18" i="4"/>
  <c r="K20" i="4"/>
  <c r="D23" i="4"/>
  <c r="J23" i="4" s="1"/>
  <c r="D46" i="4"/>
  <c r="J46" i="4" s="1"/>
  <c r="K64" i="4"/>
  <c r="E67" i="4"/>
  <c r="E73" i="4" s="1"/>
  <c r="G67" i="4"/>
  <c r="G73" i="4" s="1"/>
  <c r="I67" i="4"/>
  <c r="I73" i="4"/>
  <c r="K66" i="4"/>
  <c r="K69" i="4"/>
  <c r="K71" i="4"/>
  <c r="C80" i="4"/>
  <c r="K78" i="4"/>
  <c r="E80" i="4"/>
  <c r="G80" i="4"/>
  <c r="I80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1" i="4"/>
  <c r="K13" i="4"/>
  <c r="K19" i="4"/>
  <c r="K24" i="4"/>
  <c r="C23" i="4"/>
  <c r="C22" i="4" s="1"/>
  <c r="K25" i="4"/>
  <c r="K26" i="4"/>
  <c r="K27" i="4"/>
  <c r="K28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C46" i="4"/>
  <c r="K47" i="4"/>
  <c r="K48" i="4"/>
  <c r="K49" i="4"/>
  <c r="K50" i="4"/>
  <c r="K51" i="4"/>
  <c r="K54" i="4"/>
  <c r="J70" i="4"/>
  <c r="D67" i="4"/>
  <c r="D73" i="4" s="1"/>
  <c r="J73" i="4" s="1"/>
  <c r="J71" i="4"/>
  <c r="J68" i="4"/>
  <c r="J64" i="4"/>
  <c r="J66" i="4"/>
  <c r="J72" i="4"/>
  <c r="J69" i="4"/>
  <c r="J65" i="4"/>
  <c r="F67" i="4"/>
  <c r="F73" i="4"/>
  <c r="H67" i="4"/>
  <c r="H73" i="4" s="1"/>
  <c r="K68" i="4"/>
  <c r="K70" i="4"/>
  <c r="K72" i="4"/>
  <c r="J78" i="4"/>
  <c r="D80" i="4"/>
  <c r="J80" i="4"/>
  <c r="J79" i="4"/>
  <c r="F80" i="4"/>
  <c r="H80" i="4"/>
  <c r="J86" i="4"/>
  <c r="J91" i="4"/>
  <c r="J89" i="4"/>
  <c r="J93" i="4"/>
  <c r="J87" i="4"/>
  <c r="J88" i="4"/>
  <c r="J94" i="4"/>
  <c r="J92" i="4"/>
  <c r="J90" i="4"/>
  <c r="J97" i="4"/>
  <c r="J99" i="4"/>
  <c r="J98" i="4"/>
  <c r="J96" i="4"/>
  <c r="J95" i="4"/>
  <c r="J67" i="4" l="1"/>
  <c r="B81" i="4"/>
  <c r="B1" i="4"/>
  <c r="K80" i="4"/>
  <c r="K73" i="4"/>
  <c r="K65" i="4"/>
  <c r="K67" i="4"/>
  <c r="K46" i="4"/>
  <c r="K35" i="4"/>
  <c r="D22" i="4"/>
  <c r="K23" i="4"/>
  <c r="K22" i="4"/>
  <c r="K15" i="4"/>
  <c r="K9" i="4"/>
  <c r="D75" i="4"/>
  <c r="C53" i="4"/>
  <c r="C74" i="4"/>
  <c r="C7" i="4"/>
  <c r="J22" i="4" l="1"/>
  <c r="D7" i="4"/>
  <c r="C55" i="4"/>
  <c r="K53" i="4"/>
  <c r="C21" i="4"/>
  <c r="K7" i="4"/>
  <c r="L11" i="4" l="1"/>
  <c r="J7" i="4"/>
  <c r="L7" i="4"/>
  <c r="L9" i="4"/>
  <c r="L20" i="4"/>
  <c r="D21" i="4"/>
  <c r="L13" i="4"/>
  <c r="L16" i="4"/>
  <c r="L14" i="4"/>
  <c r="L10" i="4"/>
  <c r="L19" i="4"/>
  <c r="L17" i="4"/>
  <c r="L15" i="4"/>
  <c r="L12" i="4"/>
  <c r="L8" i="4"/>
  <c r="L18" i="4"/>
  <c r="C75" i="4"/>
  <c r="K55" i="4"/>
  <c r="L21" i="4" l="1"/>
  <c r="J21" i="4"/>
  <c r="K21" i="4"/>
</calcChain>
</file>

<file path=xl/sharedStrings.xml><?xml version="1.0" encoding="utf-8"?>
<sst xmlns="http://schemas.openxmlformats.org/spreadsheetml/2006/main" count="351" uniqueCount="112">
  <si>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</si>
  <si>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</si>
  <si>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</si>
  <si>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</si>
  <si>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</si>
  <si>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</si>
  <si>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</si>
  <si>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</si>
  <si>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</si>
  <si>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</si>
  <si>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</si>
  <si>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</si>
  <si>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</si>
  <si>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</si>
  <si>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</si>
  <si>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</si>
  <si>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</si>
  <si>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</si>
  <si>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</si>
  <si>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</si>
  <si>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</si>
  <si>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</si>
  <si>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</si>
  <si>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</si>
  <si>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</si>
  <si>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</si>
  <si>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</si>
  <si>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</si>
  <si>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</si>
  <si>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</si>
  <si>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</si>
  <si>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</si>
  <si>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</si>
  <si>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</si>
  <si>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</si>
  <si>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</si>
  <si>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</si>
  <si>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</si>
  <si>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</si>
  <si>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</si>
  <si>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</si>
  <si>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</si>
  <si>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</si>
  <si>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</si>
  <si>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</si>
  <si>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</si>
  <si>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</si>
  <si>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</si>
  <si>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</si>
  <si>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</si>
  <si>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</si>
  <si>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</si>
  <si>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</si>
  <si>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</si>
  <si>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</si>
  <si>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</si>
  <si>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</si>
  <si>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</si>
  <si>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</si>
  <si>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</si>
  <si>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</si>
  <si>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</si>
  <si>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</si>
  <si>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</si>
  <si>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</si>
  <si>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</si>
  <si>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</si>
  <si>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</si>
  <si>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</si>
  <si>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</si>
  <si>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</si>
  <si>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</si>
  <si>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</si>
  <si>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</si>
  <si>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</si>
  <si>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</si>
  <si>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</si>
  <si>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</si>
  <si>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</si>
  <si>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</si>
  <si>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</si>
  <si>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</si>
  <si>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</si>
  <si>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</si>
  <si>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</si>
  <si>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</si>
  <si>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wykup papierów wartościowych</t>
  </si>
  <si>
    <t>udzielone pożyczki</t>
  </si>
  <si>
    <t>Dotacje §§ 200 i 620</t>
  </si>
  <si>
    <t>w tym: inwestycyjne § 620</t>
  </si>
  <si>
    <t>Dotacje §§ 205 i 625</t>
  </si>
  <si>
    <t>w tym: inwestycyjne § 625</t>
  </si>
  <si>
    <t>otrzymane ze środków z Funduszu Przeciwdziałania COVID-19 (m.in. z Rządowego Funduszu Inwestycji Lokalnych)</t>
  </si>
  <si>
    <t>wolne środki, o których mowa w art. 217 ust. 2 pkt 6 ustawy o finansach publicznych</t>
  </si>
  <si>
    <t>na finansowanie lub dofinansowanie zadań inwestycyjnych obiektów zabytkowych oraz prac remontowych i konserwatorskich przy zabytkach</t>
  </si>
  <si>
    <t>w tym: inwestycyjne</t>
  </si>
  <si>
    <t>spłaty udzielonych pożyczek w latach ubiegłych</t>
  </si>
  <si>
    <t>niewykorzystane środki pieniężne o których mowa w art. 217 ust. 2 pkt. 8 ustawy o finansach publicznych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</si>
  <si>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</si>
  <si>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</si>
  <si>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nadwyżka z lat ubiegłych, pomniejszona o niewykorzystane środki pieniężne, o których mowa w art. 217 ust. 2 pkt 8 ustawy o finansach publicznych</t>
  </si>
  <si>
    <t>Dotacje ogółem 
z tego:</t>
  </si>
  <si>
    <t>spłaty kredytów i pożyczek, wykup papierów wartościowych 
w tym: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</si>
  <si>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</si>
  <si>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Dochody bieżące 
minus 
wydatki bieżące</t>
  </si>
  <si>
    <t>FINANSOWANIE DEFICYTU (E1+E2+E3+E4+E5+E6+E7)  
z tego:</t>
  </si>
  <si>
    <t>Wydatki ogółem UE 
z tego:</t>
  </si>
  <si>
    <t>kredyty, pożyczki, emisja papierów wartościowych
w tym: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</si>
  <si>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</si>
  <si>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</si>
  <si>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</si>
  <si>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tytuł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</si>
</sst>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15" fillId="0" borderId="0"/>
  </cellStyleXfs>
  <cellXfs count="132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2"/>
    </xf>
    <xf numFmtId="0" fontId="2" fillId="0" borderId="1" xfId="0" applyFont="1" applyBorder="1"/>
    <xf numFmtId="164" fontId="12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4" fontId="11" fillId="3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164" fontId="12" fillId="4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164" fontId="4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2" fillId="0" borderId="4" xfId="0" applyFont="1" applyBorder="1"/>
    <xf numFmtId="0" fontId="7" fillId="4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4"/>
    </xf>
    <xf numFmtId="0" fontId="4" fillId="5" borderId="1" xfId="0" applyFont="1" applyFill="1" applyBorder="1" applyAlignment="1">
      <alignment horizontal="left" vertical="center" wrapText="1" indent="3"/>
    </xf>
    <xf numFmtId="0" fontId="16" fillId="0" borderId="1" xfId="4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16" fillId="4" borderId="1" xfId="3" applyFont="1" applyFill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5">
    <cellStyle name="Dziesiętny" xfId="1" builtinId="3"/>
    <cellStyle name="Dziesiętny 3" xfId="2"/>
    <cellStyle name="Normalny" xfId="0" builtinId="0"/>
    <cellStyle name="Normalny 2" xfId="3"/>
    <cellStyle name="Normalny 2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7"/>
  <sheetViews>
    <sheetView tabSelected="1" topLeftCell="B1" zoomScaleNormal="100" workbookViewId="0">
      <selection activeCell="B3" sqref="B3:B4"/>
    </sheetView>
  </sheetViews>
  <sheetFormatPr defaultColWidth="9.1796875" defaultRowHeight="12.5" outlineLevelRow="1" outlineLevelCol="1" x14ac:dyDescent="0.25"/>
  <cols>
    <col min="1" max="1" width="5.7265625" style="1" hidden="1" customWidth="1"/>
    <col min="2" max="2" width="30.7265625" style="1" customWidth="1"/>
    <col min="3" max="4" width="14.54296875" style="1" customWidth="1"/>
    <col min="5" max="5" width="14.54296875" style="1" customWidth="1" outlineLevel="1"/>
    <col min="6" max="6" width="13.81640625" style="1" customWidth="1" outlineLevel="1"/>
    <col min="7" max="7" width="13" style="1" customWidth="1" outlineLevel="1"/>
    <col min="8" max="8" width="11.81640625" style="1" customWidth="1" outlineLevel="1"/>
    <col min="9" max="9" width="13" style="1" customWidth="1" outlineLevel="1"/>
    <col min="10" max="10" width="12.7265625" style="1" customWidth="1"/>
    <col min="11" max="11" width="7.453125" style="1" customWidth="1"/>
    <col min="12" max="13" width="8.1796875" style="1" customWidth="1"/>
    <col min="14" max="16384" width="9.1796875" style="1"/>
  </cols>
  <sheetData>
    <row r="1" spans="2:13" ht="15.5" x14ac:dyDescent="0.25">
      <c r="B1" s="91" t="str">
        <f>CONCATENATE("Informacja z wykonania budżetów gmin za ",$D$114," ",$C$115," rok     ",$C$117,"")</f>
        <v xml:space="preserve">Informacja z wykonania budżetów gmin za III Kwartały 2022 rok     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ht="0.75" customHeight="1" x14ac:dyDescent="0.25"/>
    <row r="3" spans="2:13" ht="69" customHeight="1" x14ac:dyDescent="0.25">
      <c r="B3" s="125" t="s">
        <v>0</v>
      </c>
      <c r="C3" s="15" t="s">
        <v>36</v>
      </c>
      <c r="D3" s="15" t="s">
        <v>37</v>
      </c>
      <c r="E3" s="15" t="s">
        <v>38</v>
      </c>
      <c r="F3" s="15" t="s">
        <v>39</v>
      </c>
      <c r="G3" s="15" t="s">
        <v>40</v>
      </c>
      <c r="H3" s="15" t="s">
        <v>41</v>
      </c>
      <c r="I3" s="15" t="s">
        <v>42</v>
      </c>
      <c r="J3" s="17" t="s">
        <v>2</v>
      </c>
      <c r="K3" s="15" t="s">
        <v>18</v>
      </c>
      <c r="L3" s="15" t="s">
        <v>3</v>
      </c>
    </row>
    <row r="4" spans="2:13" x14ac:dyDescent="0.25">
      <c r="B4" s="125"/>
      <c r="C4" s="122" t="s">
        <v>75</v>
      </c>
      <c r="D4" s="123"/>
      <c r="E4" s="123"/>
      <c r="F4" s="123"/>
      <c r="G4" s="123"/>
      <c r="H4" s="123"/>
      <c r="I4" s="124"/>
      <c r="J4" s="127" t="s">
        <v>4</v>
      </c>
      <c r="K4" s="127"/>
      <c r="L4" s="127"/>
    </row>
    <row r="5" spans="2:13" x14ac:dyDescent="0.25">
      <c r="B5" s="17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2:13" ht="13" x14ac:dyDescent="0.25">
      <c r="B6" s="84" t="s">
        <v>5</v>
      </c>
      <c r="C6" s="45">
        <f>166067837673.8</f>
        <v>166067837673.79999</v>
      </c>
      <c r="D6" s="45">
        <f>123420341918.16</f>
        <v>123420341918.16</v>
      </c>
      <c r="E6" s="45">
        <f>2602560767.34</f>
        <v>2602560767.3400002</v>
      </c>
      <c r="F6" s="45">
        <f>635409890.73</f>
        <v>635409890.73000002</v>
      </c>
      <c r="G6" s="45">
        <f>62666719.26</f>
        <v>62666719.259999998</v>
      </c>
      <c r="H6" s="45">
        <f>132573871.1</f>
        <v>132573871.09999999</v>
      </c>
      <c r="I6" s="45">
        <f>3142822.73</f>
        <v>3142822.73</v>
      </c>
      <c r="J6" s="46">
        <f t="shared" ref="J6:J55" si="0">IF($D$6=0,"",100*$D6/$D$6)</f>
        <v>100</v>
      </c>
      <c r="K6" s="46">
        <f t="shared" ref="K6:K51" si="1">IF(C6=0,"",100*D6/C6)</f>
        <v>74.319232216769961</v>
      </c>
      <c r="L6" s="46"/>
    </row>
    <row r="7" spans="2:13" ht="25.5" customHeight="1" x14ac:dyDescent="0.25">
      <c r="B7" s="85" t="s">
        <v>59</v>
      </c>
      <c r="C7" s="25">
        <f>C6-C22-C46</f>
        <v>71692623388.059998</v>
      </c>
      <c r="D7" s="25">
        <f>D6-D22-D46</f>
        <v>53419722152.830002</v>
      </c>
      <c r="E7" s="25">
        <f>E6</f>
        <v>2602560767.3400002</v>
      </c>
      <c r="F7" s="25">
        <f>F6</f>
        <v>635409890.73000002</v>
      </c>
      <c r="G7" s="25">
        <f>G6</f>
        <v>62666719.259999998</v>
      </c>
      <c r="H7" s="25">
        <f>H6</f>
        <v>132573871.09999999</v>
      </c>
      <c r="I7" s="25">
        <f>I6</f>
        <v>3142822.73</v>
      </c>
      <c r="J7" s="34">
        <f t="shared" si="0"/>
        <v>43.282753331094</v>
      </c>
      <c r="K7" s="34">
        <f t="shared" si="1"/>
        <v>74.512159868495971</v>
      </c>
      <c r="L7" s="34">
        <f t="shared" ref="L7:L21" si="2">IF($D$7=0,"",100*$D7/$D$7)</f>
        <v>100</v>
      </c>
    </row>
    <row r="8" spans="2:13" ht="22.5" customHeight="1" outlineLevel="1" x14ac:dyDescent="0.25">
      <c r="B8" s="54" t="s">
        <v>35</v>
      </c>
      <c r="C8" s="24">
        <f>1524852785</f>
        <v>1524852785</v>
      </c>
      <c r="D8" s="24">
        <f>1131511128.43</f>
        <v>1131511128.4300001</v>
      </c>
      <c r="E8" s="24">
        <f>0</f>
        <v>0</v>
      </c>
      <c r="F8" s="24">
        <f>0</f>
        <v>0</v>
      </c>
      <c r="G8" s="24">
        <f>0</f>
        <v>0</v>
      </c>
      <c r="H8" s="24">
        <f>0</f>
        <v>0</v>
      </c>
      <c r="I8" s="24">
        <f>0</f>
        <v>0</v>
      </c>
      <c r="J8" s="35">
        <f t="shared" si="0"/>
        <v>0.91679467974598927</v>
      </c>
      <c r="K8" s="35">
        <f t="shared" si="1"/>
        <v>74.204614344459486</v>
      </c>
      <c r="L8" s="35">
        <f t="shared" si="2"/>
        <v>2.1181524029511567</v>
      </c>
    </row>
    <row r="9" spans="2:13" ht="22.5" customHeight="1" outlineLevel="1" x14ac:dyDescent="0.25">
      <c r="B9" s="54" t="s">
        <v>19</v>
      </c>
      <c r="C9" s="24">
        <f>22549891052.81</f>
        <v>22549891052.810001</v>
      </c>
      <c r="D9" s="24">
        <f>16886233467</f>
        <v>16886233467</v>
      </c>
      <c r="E9" s="24">
        <f>0</f>
        <v>0</v>
      </c>
      <c r="F9" s="24">
        <f>0</f>
        <v>0</v>
      </c>
      <c r="G9" s="24">
        <f>0</f>
        <v>0</v>
      </c>
      <c r="H9" s="24">
        <f>0</f>
        <v>0</v>
      </c>
      <c r="I9" s="24">
        <f>0</f>
        <v>0</v>
      </c>
      <c r="J9" s="35">
        <f t="shared" si="0"/>
        <v>13.681888418521201</v>
      </c>
      <c r="K9" s="35">
        <f t="shared" si="1"/>
        <v>74.88388049172309</v>
      </c>
      <c r="L9" s="35">
        <f t="shared" si="2"/>
        <v>31.610485390938003</v>
      </c>
    </row>
    <row r="10" spans="2:13" ht="13.5" customHeight="1" outlineLevel="1" x14ac:dyDescent="0.25">
      <c r="B10" s="54" t="s">
        <v>20</v>
      </c>
      <c r="C10" s="24">
        <f>1739900108.97</f>
        <v>1739900108.97</v>
      </c>
      <c r="D10" s="24">
        <f>1334761494.64</f>
        <v>1334761494.6400001</v>
      </c>
      <c r="E10" s="24">
        <f>110185480.69</f>
        <v>110185480.69</v>
      </c>
      <c r="F10" s="24">
        <f>2309315.92</f>
        <v>2309315.92</v>
      </c>
      <c r="G10" s="24">
        <f>1899596.73</f>
        <v>1899596.73</v>
      </c>
      <c r="H10" s="24">
        <f>1823729.42</f>
        <v>1823729.42</v>
      </c>
      <c r="I10" s="24">
        <f>2221.64</f>
        <v>2221.64</v>
      </c>
      <c r="J10" s="35">
        <f t="shared" si="0"/>
        <v>1.0814760953466489</v>
      </c>
      <c r="K10" s="35">
        <f t="shared" si="1"/>
        <v>76.71483482061295</v>
      </c>
      <c r="L10" s="35">
        <f t="shared" si="2"/>
        <v>2.4986305447664874</v>
      </c>
    </row>
    <row r="11" spans="2:13" ht="13.5" customHeight="1" outlineLevel="1" x14ac:dyDescent="0.25">
      <c r="B11" s="54" t="s">
        <v>21</v>
      </c>
      <c r="C11" s="24">
        <f>17340385378.34</f>
        <v>17340385378.34</v>
      </c>
      <c r="D11" s="53">
        <f>13294811995.61</f>
        <v>13294811995.610001</v>
      </c>
      <c r="E11" s="24">
        <f>1742750830.06</f>
        <v>1742750830.0599999</v>
      </c>
      <c r="F11" s="24">
        <f>503810572.63</f>
        <v>503810572.63</v>
      </c>
      <c r="G11" s="24">
        <f>46298590.63</f>
        <v>46298590.630000003</v>
      </c>
      <c r="H11" s="24">
        <f>89444514.8</f>
        <v>89444514.799999997</v>
      </c>
      <c r="I11" s="24">
        <f>2725035.9</f>
        <v>2725035.9</v>
      </c>
      <c r="J11" s="35">
        <f t="shared" si="0"/>
        <v>10.771977932475496</v>
      </c>
      <c r="K11" s="35">
        <f t="shared" si="1"/>
        <v>76.669645486752827</v>
      </c>
      <c r="L11" s="35">
        <f t="shared" si="2"/>
        <v>24.887460023798877</v>
      </c>
    </row>
    <row r="12" spans="2:13" ht="13.5" customHeight="1" outlineLevel="1" x14ac:dyDescent="0.25">
      <c r="B12" s="54" t="s">
        <v>22</v>
      </c>
      <c r="C12" s="24">
        <f>322479973.68</f>
        <v>322479973.68000001</v>
      </c>
      <c r="D12" s="53">
        <f>252392937.38</f>
        <v>252392937.38</v>
      </c>
      <c r="E12" s="24">
        <f>1467130.27</f>
        <v>1467130.27</v>
      </c>
      <c r="F12" s="24">
        <f>393047.67</f>
        <v>393047.67</v>
      </c>
      <c r="G12" s="24">
        <f>63900.16</f>
        <v>63900.160000000003</v>
      </c>
      <c r="H12" s="24">
        <f>55839.84</f>
        <v>55839.839999999997</v>
      </c>
      <c r="I12" s="24">
        <f>42</f>
        <v>42</v>
      </c>
      <c r="J12" s="35">
        <f t="shared" si="0"/>
        <v>0.20449865350993898</v>
      </c>
      <c r="K12" s="35">
        <f t="shared" si="1"/>
        <v>78.266236039342999</v>
      </c>
      <c r="L12" s="35">
        <f t="shared" si="2"/>
        <v>0.47247145288012143</v>
      </c>
    </row>
    <row r="13" spans="2:13" ht="13.5" customHeight="1" outlineLevel="1" x14ac:dyDescent="0.25">
      <c r="B13" s="54" t="s">
        <v>23</v>
      </c>
      <c r="C13" s="24">
        <f>945395706.38</f>
        <v>945395706.38</v>
      </c>
      <c r="D13" s="53">
        <f>838944175.38</f>
        <v>838944175.38</v>
      </c>
      <c r="E13" s="24">
        <f>729721330.89</f>
        <v>729721330.88999999</v>
      </c>
      <c r="F13" s="24">
        <f>3388106.95</f>
        <v>3388106.95</v>
      </c>
      <c r="G13" s="24">
        <f>1800596.44</f>
        <v>1800596.44</v>
      </c>
      <c r="H13" s="24">
        <f>4448841.83</f>
        <v>4448841.83</v>
      </c>
      <c r="I13" s="24">
        <f>44836.13</f>
        <v>44836.13</v>
      </c>
      <c r="J13" s="35">
        <f t="shared" si="0"/>
        <v>0.67974546362568311</v>
      </c>
      <c r="K13" s="35">
        <f t="shared" si="1"/>
        <v>88.740002701343769</v>
      </c>
      <c r="L13" s="35">
        <f t="shared" si="2"/>
        <v>1.5704764861558822</v>
      </c>
    </row>
    <row r="14" spans="2:13" ht="34" customHeight="1" outlineLevel="1" x14ac:dyDescent="0.25">
      <c r="B14" s="54" t="s">
        <v>44</v>
      </c>
      <c r="C14" s="24">
        <f>79657730.11</f>
        <v>79657730.109999999</v>
      </c>
      <c r="D14" s="53">
        <f>72433994.03</f>
        <v>72433994.030000001</v>
      </c>
      <c r="E14" s="24">
        <f>0</f>
        <v>0</v>
      </c>
      <c r="F14" s="24">
        <f>0</f>
        <v>0</v>
      </c>
      <c r="G14" s="24">
        <f>29222.31</f>
        <v>29222.31</v>
      </c>
      <c r="H14" s="24">
        <f>96457.38</f>
        <v>96457.38</v>
      </c>
      <c r="I14" s="24">
        <f>0</f>
        <v>0</v>
      </c>
      <c r="J14" s="35">
        <f t="shared" si="0"/>
        <v>5.8688861904167278E-2</v>
      </c>
      <c r="K14" s="35">
        <f t="shared" si="1"/>
        <v>90.931531603995396</v>
      </c>
      <c r="L14" s="35">
        <f t="shared" si="2"/>
        <v>0.13559410478169753</v>
      </c>
    </row>
    <row r="15" spans="2:13" ht="13.5" customHeight="1" outlineLevel="1" x14ac:dyDescent="0.25">
      <c r="B15" s="54" t="s">
        <v>28</v>
      </c>
      <c r="C15" s="24">
        <f>182487121.41</f>
        <v>182487121.41</v>
      </c>
      <c r="D15" s="53">
        <f>187101436.34</f>
        <v>187101436.34</v>
      </c>
      <c r="E15" s="24">
        <f>0</f>
        <v>0</v>
      </c>
      <c r="F15" s="24">
        <f>0</f>
        <v>0</v>
      </c>
      <c r="G15" s="24">
        <f>3622956.45</f>
        <v>3622956.45</v>
      </c>
      <c r="H15" s="24">
        <f>6018358.48</f>
        <v>6018358.4800000004</v>
      </c>
      <c r="I15" s="24">
        <f>0</f>
        <v>0</v>
      </c>
      <c r="J15" s="35">
        <f t="shared" si="0"/>
        <v>0.15159691946410819</v>
      </c>
      <c r="K15" s="35">
        <f t="shared" si="1"/>
        <v>102.52857017763618</v>
      </c>
      <c r="L15" s="35">
        <f t="shared" si="2"/>
        <v>0.35024786502018146</v>
      </c>
    </row>
    <row r="16" spans="2:13" ht="22.5" customHeight="1" outlineLevel="1" x14ac:dyDescent="0.25">
      <c r="B16" s="54" t="s">
        <v>29</v>
      </c>
      <c r="C16" s="24">
        <f>1760340807.02</f>
        <v>1760340807.02</v>
      </c>
      <c r="D16" s="53">
        <f>1538776752.14</f>
        <v>1538776752.1400001</v>
      </c>
      <c r="E16" s="24">
        <f>0</f>
        <v>0</v>
      </c>
      <c r="F16" s="24">
        <f>0</f>
        <v>0</v>
      </c>
      <c r="G16" s="24">
        <f>107014.72</f>
        <v>107014.72</v>
      </c>
      <c r="H16" s="24">
        <f>12765521.66</f>
        <v>12765521.66</v>
      </c>
      <c r="I16" s="24">
        <f>0</f>
        <v>0</v>
      </c>
      <c r="J16" s="35">
        <f t="shared" si="0"/>
        <v>1.2467772558597856</v>
      </c>
      <c r="K16" s="35">
        <f t="shared" si="1"/>
        <v>87.413570486099474</v>
      </c>
      <c r="L16" s="35">
        <f t="shared" si="2"/>
        <v>2.8805405384507052</v>
      </c>
    </row>
    <row r="17" spans="2:12" ht="13.5" customHeight="1" outlineLevel="1" x14ac:dyDescent="0.25">
      <c r="B17" s="54" t="s">
        <v>30</v>
      </c>
      <c r="C17" s="24">
        <f>199711865.83</f>
        <v>199711865.83000001</v>
      </c>
      <c r="D17" s="53">
        <f>149083801.16</f>
        <v>149083801.16</v>
      </c>
      <c r="E17" s="24">
        <f>0</f>
        <v>0</v>
      </c>
      <c r="F17" s="24">
        <f>0</f>
        <v>0</v>
      </c>
      <c r="G17" s="24">
        <f>371</f>
        <v>371</v>
      </c>
      <c r="H17" s="24">
        <f>196.3</f>
        <v>196.3</v>
      </c>
      <c r="I17" s="24">
        <f>0</f>
        <v>0</v>
      </c>
      <c r="J17" s="35">
        <f t="shared" si="0"/>
        <v>0.12079354087258762</v>
      </c>
      <c r="K17" s="35">
        <f t="shared" si="1"/>
        <v>74.649445860620048</v>
      </c>
      <c r="L17" s="35">
        <f t="shared" si="2"/>
        <v>0.27908007595674478</v>
      </c>
    </row>
    <row r="18" spans="2:12" ht="13.5" customHeight="1" outlineLevel="1" x14ac:dyDescent="0.25">
      <c r="B18" s="54" t="s">
        <v>31</v>
      </c>
      <c r="C18" s="24">
        <f>429431042.2</f>
        <v>429431042.19999999</v>
      </c>
      <c r="D18" s="53">
        <f>403277256.74</f>
        <v>403277256.74000001</v>
      </c>
      <c r="E18" s="24">
        <f>0</f>
        <v>0</v>
      </c>
      <c r="F18" s="24">
        <f>0</f>
        <v>0</v>
      </c>
      <c r="G18" s="24">
        <f>30546.23</f>
        <v>30546.23</v>
      </c>
      <c r="H18" s="24">
        <f>945872.8</f>
        <v>945872.8</v>
      </c>
      <c r="I18" s="24">
        <f>0</f>
        <v>0</v>
      </c>
      <c r="J18" s="35">
        <f t="shared" si="0"/>
        <v>0.32675104482161704</v>
      </c>
      <c r="K18" s="35">
        <f t="shared" si="1"/>
        <v>93.909665839243331</v>
      </c>
      <c r="L18" s="35">
        <f t="shared" si="2"/>
        <v>0.75492204093883641</v>
      </c>
    </row>
    <row r="19" spans="2:12" ht="13.5" customHeight="1" outlineLevel="1" x14ac:dyDescent="0.25">
      <c r="B19" s="54" t="s">
        <v>32</v>
      </c>
      <c r="C19" s="24">
        <f>113138793.79</f>
        <v>113138793.79000001</v>
      </c>
      <c r="D19" s="53">
        <f>77705550.97</f>
        <v>77705550.969999999</v>
      </c>
      <c r="E19" s="24">
        <f>1594600.64</f>
        <v>1594600.64</v>
      </c>
      <c r="F19" s="24">
        <f>6102</f>
        <v>6102</v>
      </c>
      <c r="G19" s="24">
        <f>19362.8</f>
        <v>19362.8</v>
      </c>
      <c r="H19" s="24">
        <f>97130.31</f>
        <v>97130.31</v>
      </c>
      <c r="I19" s="24">
        <f>0</f>
        <v>0</v>
      </c>
      <c r="J19" s="35">
        <f t="shared" si="0"/>
        <v>6.2960084020449836E-2</v>
      </c>
      <c r="K19" s="35">
        <f t="shared" si="1"/>
        <v>68.681615179874896</v>
      </c>
      <c r="L19" s="35">
        <f t="shared" si="2"/>
        <v>0.14546228965341673</v>
      </c>
    </row>
    <row r="20" spans="2:12" ht="13.5" customHeight="1" outlineLevel="1" x14ac:dyDescent="0.25">
      <c r="B20" s="54" t="s">
        <v>24</v>
      </c>
      <c r="C20" s="24">
        <f>5350979450.78</f>
        <v>5350979450.7799997</v>
      </c>
      <c r="D20" s="53">
        <f>3318208215.24</f>
        <v>3318208215.2399998</v>
      </c>
      <c r="E20" s="24">
        <f>0</f>
        <v>0</v>
      </c>
      <c r="F20" s="24">
        <f>17426.08</f>
        <v>17426.080000000002</v>
      </c>
      <c r="G20" s="24">
        <f>0</f>
        <v>0</v>
      </c>
      <c r="H20" s="24">
        <f>0</f>
        <v>0</v>
      </c>
      <c r="I20" s="24">
        <f>4840.65</f>
        <v>4840.6499999999996</v>
      </c>
      <c r="J20" s="35">
        <f t="shared" si="0"/>
        <v>2.6885423939599056</v>
      </c>
      <c r="K20" s="35">
        <f t="shared" si="1"/>
        <v>62.011230761805905</v>
      </c>
      <c r="L20" s="35">
        <f t="shared" si="2"/>
        <v>6.2115789478403567</v>
      </c>
    </row>
    <row r="21" spans="2:12" ht="13.5" customHeight="1" outlineLevel="1" x14ac:dyDescent="0.25">
      <c r="B21" s="54" t="s">
        <v>25</v>
      </c>
      <c r="C21" s="24">
        <f>C7-C8-C9-C10-C11-C12-C13-C14-C15-C16-C17-C18-C19-C20</f>
        <v>19153971571.739994</v>
      </c>
      <c r="D21" s="24">
        <f t="shared" ref="D21:I21" si="3">D7-D8-D9-D10-D11-D12-D13-D14-D15-D16-D17-D18-D19-D20</f>
        <v>13934479947.769999</v>
      </c>
      <c r="E21" s="24">
        <f t="shared" si="3"/>
        <v>16841394.790000185</v>
      </c>
      <c r="F21" s="24">
        <f t="shared" si="3"/>
        <v>125485319.48000006</v>
      </c>
      <c r="G21" s="24">
        <f t="shared" si="3"/>
        <v>8794561.7899999972</v>
      </c>
      <c r="H21" s="24">
        <f t="shared" si="3"/>
        <v>16877408.27999999</v>
      </c>
      <c r="I21" s="24">
        <f t="shared" si="3"/>
        <v>365846.40999999992</v>
      </c>
      <c r="J21" s="35">
        <f t="shared" si="0"/>
        <v>11.290261986966417</v>
      </c>
      <c r="K21" s="35">
        <f t="shared" si="1"/>
        <v>72.749820555905501</v>
      </c>
      <c r="L21" s="35">
        <f t="shared" si="2"/>
        <v>26.084897835867523</v>
      </c>
    </row>
    <row r="22" spans="2:12" ht="27" customHeight="1" x14ac:dyDescent="0.25">
      <c r="B22" s="85" t="s">
        <v>101</v>
      </c>
      <c r="C22" s="45">
        <f>C23+C42+C44</f>
        <v>59830164430.55999</v>
      </c>
      <c r="D22" s="45">
        <f>D23+D42+D44</f>
        <v>41876685677.330002</v>
      </c>
      <c r="E22" s="41" t="s">
        <v>58</v>
      </c>
      <c r="F22" s="41" t="s">
        <v>58</v>
      </c>
      <c r="G22" s="41" t="s">
        <v>58</v>
      </c>
      <c r="H22" s="41" t="s">
        <v>58</v>
      </c>
      <c r="I22" s="41" t="s">
        <v>58</v>
      </c>
      <c r="J22" s="46">
        <f t="shared" si="0"/>
        <v>33.930132607393375</v>
      </c>
      <c r="K22" s="46">
        <f t="shared" si="1"/>
        <v>69.992596670752704</v>
      </c>
      <c r="L22" s="29"/>
    </row>
    <row r="23" spans="2:12" ht="27" customHeight="1" outlineLevel="1" x14ac:dyDescent="0.25">
      <c r="B23" s="93" t="s">
        <v>60</v>
      </c>
      <c r="C23" s="45">
        <f>C24+C26+C28+C30+C32+C34+C36+C38+C40</f>
        <v>51108927637.610001</v>
      </c>
      <c r="D23" s="45">
        <f>D24+D26+D28+D30+D32+D34+D36+D38+D40</f>
        <v>37689336403.029999</v>
      </c>
      <c r="E23" s="41" t="s">
        <v>58</v>
      </c>
      <c r="F23" s="41" t="s">
        <v>58</v>
      </c>
      <c r="G23" s="41" t="s">
        <v>58</v>
      </c>
      <c r="H23" s="41" t="s">
        <v>58</v>
      </c>
      <c r="I23" s="41" t="s">
        <v>58</v>
      </c>
      <c r="J23" s="46">
        <f t="shared" si="0"/>
        <v>30.537378050712086</v>
      </c>
      <c r="K23" s="46">
        <f t="shared" si="1"/>
        <v>73.743156323427144</v>
      </c>
      <c r="L23" s="29"/>
    </row>
    <row r="24" spans="2:12" ht="22.5" customHeight="1" outlineLevel="1" x14ac:dyDescent="0.25">
      <c r="B24" s="83" t="s">
        <v>9</v>
      </c>
      <c r="C24" s="24">
        <f>25599638511.31</f>
        <v>25599638511.310001</v>
      </c>
      <c r="D24" s="24">
        <f>23209785039.63</f>
        <v>23209785039.630001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18.80547783202578</v>
      </c>
      <c r="K24" s="35">
        <f t="shared" si="1"/>
        <v>90.664503052946799</v>
      </c>
      <c r="L24" s="29"/>
    </row>
    <row r="25" spans="2:12" ht="13.5" customHeight="1" outlineLevel="1" x14ac:dyDescent="0.25">
      <c r="B25" s="94" t="s">
        <v>6</v>
      </c>
      <c r="C25" s="24">
        <f>18568246.24</f>
        <v>18568246.239999998</v>
      </c>
      <c r="D25" s="24">
        <f>9477976.3</f>
        <v>9477976.3000000007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7.6794280040844848E-3</v>
      </c>
      <c r="K25" s="35">
        <f t="shared" si="1"/>
        <v>51.044003712005932</v>
      </c>
      <c r="L25" s="29"/>
    </row>
    <row r="26" spans="2:12" ht="13.5" customHeight="1" outlineLevel="1" x14ac:dyDescent="0.25">
      <c r="B26" s="83" t="s">
        <v>7</v>
      </c>
      <c r="C26" s="24">
        <f>3890054776.33</f>
        <v>3890054776.3299999</v>
      </c>
      <c r="D26" s="24">
        <f>2742746660.52</f>
        <v>2742746660.52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2.2222808800341149</v>
      </c>
      <c r="K26" s="35">
        <f t="shared" si="1"/>
        <v>70.50663340806716</v>
      </c>
      <c r="L26" s="29"/>
    </row>
    <row r="27" spans="2:12" ht="13.5" customHeight="1" outlineLevel="1" x14ac:dyDescent="0.25">
      <c r="B27" s="94" t="s">
        <v>6</v>
      </c>
      <c r="C27" s="24">
        <f>450735832.14</f>
        <v>450735832.13999999</v>
      </c>
      <c r="D27" s="24">
        <f>171702679.63</f>
        <v>171702679.63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0.13912024303405027</v>
      </c>
      <c r="K27" s="35">
        <f t="shared" si="1"/>
        <v>38.093860613386646</v>
      </c>
      <c r="L27" s="29"/>
    </row>
    <row r="28" spans="2:12" ht="35.15" customHeight="1" outlineLevel="1" x14ac:dyDescent="0.25">
      <c r="B28" s="83" t="s">
        <v>10</v>
      </c>
      <c r="C28" s="24">
        <f>112977378.38</f>
        <v>112977378.38</v>
      </c>
      <c r="D28" s="24">
        <f>68590174.38</f>
        <v>68590174.379999995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5.5574448517961589E-2</v>
      </c>
      <c r="K28" s="35">
        <f t="shared" si="1"/>
        <v>60.711423263245315</v>
      </c>
      <c r="L28" s="29"/>
    </row>
    <row r="29" spans="2:12" ht="13.5" customHeight="1" outlineLevel="1" x14ac:dyDescent="0.25">
      <c r="B29" s="94" t="s">
        <v>6</v>
      </c>
      <c r="C29" s="24">
        <f>17756172.34</f>
        <v>17756172.34</v>
      </c>
      <c r="D29" s="24">
        <f>6902767.41</f>
        <v>6902767.4100000001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5.5928927944286716E-3</v>
      </c>
      <c r="K29" s="35">
        <f t="shared" si="1"/>
        <v>38.875312076408918</v>
      </c>
      <c r="L29" s="29"/>
    </row>
    <row r="30" spans="2:12" ht="24" customHeight="1" outlineLevel="1" x14ac:dyDescent="0.25">
      <c r="B30" s="83" t="s">
        <v>11</v>
      </c>
      <c r="C30" s="24">
        <f>696610240.82</f>
        <v>696610240.82000005</v>
      </c>
      <c r="D30" s="24">
        <f>371109461.96</f>
        <v>371109461.95999998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0.30068743627860195</v>
      </c>
      <c r="K30" s="35">
        <f t="shared" si="1"/>
        <v>53.273615605070106</v>
      </c>
      <c r="L30" s="29"/>
    </row>
    <row r="31" spans="2:12" ht="13.5" customHeight="1" outlineLevel="1" x14ac:dyDescent="0.25">
      <c r="B31" s="94" t="s">
        <v>6</v>
      </c>
      <c r="C31" s="24">
        <f>292792009.12</f>
        <v>292792009.12</v>
      </c>
      <c r="D31" s="24">
        <f>81721063.84</f>
        <v>81721063.840000004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6.6213609985126445E-2</v>
      </c>
      <c r="K31" s="35">
        <f t="shared" si="1"/>
        <v>27.910961124115531</v>
      </c>
      <c r="L31" s="29"/>
    </row>
    <row r="32" spans="2:12" ht="35.15" customHeight="1" outlineLevel="1" x14ac:dyDescent="0.25">
      <c r="B32" s="83" t="s">
        <v>76</v>
      </c>
      <c r="C32" s="24">
        <f>654223019.24</f>
        <v>654223019.24000001</v>
      </c>
      <c r="D32" s="24">
        <f>338597756.28</f>
        <v>338597756.27999997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0.2743451776405903</v>
      </c>
      <c r="K32" s="35">
        <f t="shared" si="1"/>
        <v>51.75570811821072</v>
      </c>
      <c r="L32" s="29"/>
    </row>
    <row r="33" spans="2:12" ht="13.5" customHeight="1" outlineLevel="1" x14ac:dyDescent="0.25">
      <c r="B33" s="94" t="s">
        <v>6</v>
      </c>
      <c r="C33" s="24">
        <f>570052511.87</f>
        <v>570052511.87</v>
      </c>
      <c r="D33" s="24">
        <f>280091217.69</f>
        <v>280091217.69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0.22694088619178224</v>
      </c>
      <c r="K33" s="35">
        <f t="shared" si="1"/>
        <v>49.134283571734279</v>
      </c>
      <c r="L33" s="29"/>
    </row>
    <row r="34" spans="2:12" ht="13.5" customHeight="1" outlineLevel="1" x14ac:dyDescent="0.25">
      <c r="B34" s="83" t="s">
        <v>8</v>
      </c>
      <c r="C34" s="24">
        <f>373813532.48</f>
        <v>373813532.48000002</v>
      </c>
      <c r="D34" s="24">
        <f>133107206.91</f>
        <v>133107206.91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0.10784867781217407</v>
      </c>
      <c r="K34" s="35">
        <f t="shared" si="1"/>
        <v>35.607915536637663</v>
      </c>
      <c r="L34" s="29"/>
    </row>
    <row r="35" spans="2:12" ht="13.5" customHeight="1" outlineLevel="1" x14ac:dyDescent="0.25">
      <c r="B35" s="95" t="s">
        <v>6</v>
      </c>
      <c r="C35" s="22">
        <f>340015129.37</f>
        <v>340015129.37</v>
      </c>
      <c r="D35" s="22">
        <f>110806207.6</f>
        <v>110806207.59999999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8.9779533809325823E-2</v>
      </c>
      <c r="K35" s="35">
        <f t="shared" si="1"/>
        <v>32.588610926022099</v>
      </c>
      <c r="L35" s="29"/>
    </row>
    <row r="36" spans="2:12" ht="71.150000000000006" customHeight="1" outlineLevel="1" x14ac:dyDescent="0.25">
      <c r="B36" s="83" t="s">
        <v>94</v>
      </c>
      <c r="C36" s="22">
        <f>9607897.82</f>
        <v>9607897.8200000003</v>
      </c>
      <c r="D36" s="22">
        <f>4192801.57</f>
        <v>4192801.57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3.3971722204272012E-3</v>
      </c>
      <c r="K36" s="35">
        <f>IF(C36=0,"",100*D36/C36)</f>
        <v>43.639114908905221</v>
      </c>
      <c r="L36" s="29"/>
    </row>
    <row r="37" spans="2:12" ht="13.5" customHeight="1" outlineLevel="1" x14ac:dyDescent="0.25">
      <c r="B37" s="95" t="s">
        <v>95</v>
      </c>
      <c r="C37" s="22">
        <f>8659004.82</f>
        <v>8659004.8200000003</v>
      </c>
      <c r="D37" s="22">
        <f>3663558.57</f>
        <v>3663558.57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2.968358791640121E-3</v>
      </c>
      <c r="K37" s="35">
        <f>IF(C37=0,"",100*D37/C37)</f>
        <v>42.309233522288302</v>
      </c>
      <c r="L37" s="29"/>
    </row>
    <row r="38" spans="2:12" ht="48" customHeight="1" outlineLevel="1" x14ac:dyDescent="0.25">
      <c r="B38" s="96" t="s">
        <v>92</v>
      </c>
      <c r="C38" s="22">
        <f>17265033294.45</f>
        <v>17265033294.450001</v>
      </c>
      <c r="D38" s="22">
        <f>8448269298.32</f>
        <v>8448269298.3199997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6.8451190192958995</v>
      </c>
      <c r="K38" s="35">
        <f t="shared" si="1"/>
        <v>48.932829460779388</v>
      </c>
      <c r="L38" s="29"/>
    </row>
    <row r="39" spans="2:12" ht="13.5" customHeight="1" outlineLevel="1" x14ac:dyDescent="0.25">
      <c r="B39" s="95" t="s">
        <v>6</v>
      </c>
      <c r="C39" s="22">
        <f>7668172505.68</f>
        <v>7668172505.6800003</v>
      </c>
      <c r="D39" s="22">
        <f>1022231497.89</f>
        <v>1022231497.89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0.82825203852363449</v>
      </c>
      <c r="K39" s="35">
        <f t="shared" si="1"/>
        <v>13.330835960364851</v>
      </c>
      <c r="L39" s="29"/>
    </row>
    <row r="40" spans="2:12" ht="20" outlineLevel="1" x14ac:dyDescent="0.25">
      <c r="B40" s="96" t="s">
        <v>108</v>
      </c>
      <c r="C40" s="22">
        <f>2506968986.78</f>
        <v>2506968986.7800002</v>
      </c>
      <c r="D40" s="22">
        <f>2372938003.46</f>
        <v>2372938003.46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1.9226474068865362</v>
      </c>
      <c r="K40" s="35">
        <f t="shared" si="1"/>
        <v>94.653664084925424</v>
      </c>
      <c r="L40" s="29"/>
    </row>
    <row r="41" spans="2:12" ht="13.5" customHeight="1" outlineLevel="1" x14ac:dyDescent="0.25">
      <c r="B41" s="95" t="s">
        <v>6</v>
      </c>
      <c r="C41" s="22">
        <f>241544.5</f>
        <v>241544.5</v>
      </c>
      <c r="D41" s="22">
        <f>67214.5</f>
        <v>67214.5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5.4459823198812652E-5</v>
      </c>
      <c r="K41" s="35">
        <f t="shared" si="1"/>
        <v>27.826963561579749</v>
      </c>
      <c r="L41" s="29"/>
    </row>
    <row r="42" spans="2:12" ht="13" outlineLevel="1" x14ac:dyDescent="0.25">
      <c r="B42" s="93" t="s">
        <v>88</v>
      </c>
      <c r="C42" s="45">
        <f>1157796119.75</f>
        <v>1157796119.75</v>
      </c>
      <c r="D42" s="45">
        <f>527406692.54</f>
        <v>527406692.54000002</v>
      </c>
      <c r="E42" s="41" t="s">
        <v>58</v>
      </c>
      <c r="F42" s="41" t="s">
        <v>58</v>
      </c>
      <c r="G42" s="41" t="s">
        <v>58</v>
      </c>
      <c r="H42" s="41" t="s">
        <v>58</v>
      </c>
      <c r="I42" s="41" t="s">
        <v>58</v>
      </c>
      <c r="J42" s="46">
        <f t="shared" si="0"/>
        <v>0.42732558048633768</v>
      </c>
      <c r="K42" s="46">
        <f t="shared" si="1"/>
        <v>45.552639497002424</v>
      </c>
      <c r="L42" s="29"/>
    </row>
    <row r="43" spans="2:12" ht="13.5" customHeight="1" outlineLevel="1" x14ac:dyDescent="0.25">
      <c r="B43" s="95" t="s">
        <v>89</v>
      </c>
      <c r="C43" s="22">
        <f>885516548.93</f>
        <v>885516548.92999995</v>
      </c>
      <c r="D43" s="22">
        <f>337029603.51</f>
        <v>337029603.50999999</v>
      </c>
      <c r="E43" s="24" t="s">
        <v>58</v>
      </c>
      <c r="F43" s="24" t="s">
        <v>58</v>
      </c>
      <c r="G43" s="24" t="s">
        <v>58</v>
      </c>
      <c r="H43" s="24" t="s">
        <v>58</v>
      </c>
      <c r="I43" s="24" t="s">
        <v>58</v>
      </c>
      <c r="J43" s="35">
        <f t="shared" si="0"/>
        <v>0.27307459878330609</v>
      </c>
      <c r="K43" s="35">
        <f t="shared" si="1"/>
        <v>38.060226420075878</v>
      </c>
      <c r="L43" s="29"/>
    </row>
    <row r="44" spans="2:12" ht="13.5" customHeight="1" outlineLevel="1" x14ac:dyDescent="0.25">
      <c r="B44" s="93" t="s">
        <v>90</v>
      </c>
      <c r="C44" s="41">
        <f>7563440673.19999</f>
        <v>7563440673.1999903</v>
      </c>
      <c r="D44" s="41">
        <f>3659942581.76</f>
        <v>3659942581.7600002</v>
      </c>
      <c r="E44" s="41" t="s">
        <v>58</v>
      </c>
      <c r="F44" s="41" t="s">
        <v>58</v>
      </c>
      <c r="G44" s="41" t="s">
        <v>58</v>
      </c>
      <c r="H44" s="41" t="s">
        <v>58</v>
      </c>
      <c r="I44" s="41" t="s">
        <v>58</v>
      </c>
      <c r="J44" s="55">
        <f t="shared" si="0"/>
        <v>2.9654289761949508</v>
      </c>
      <c r="K44" s="55">
        <f t="shared" si="1"/>
        <v>48.389915911266442</v>
      </c>
      <c r="L44" s="29"/>
    </row>
    <row r="45" spans="2:12" ht="13.5" customHeight="1" outlineLevel="1" x14ac:dyDescent="0.25">
      <c r="B45" s="95" t="s">
        <v>91</v>
      </c>
      <c r="C45" s="22">
        <f>6056929447.6</f>
        <v>6056929447.6000004</v>
      </c>
      <c r="D45" s="22">
        <f>2458964082.78</f>
        <v>2458964082.7800002</v>
      </c>
      <c r="E45" s="24" t="s">
        <v>58</v>
      </c>
      <c r="F45" s="24" t="s">
        <v>58</v>
      </c>
      <c r="G45" s="24" t="s">
        <v>58</v>
      </c>
      <c r="H45" s="24" t="s">
        <v>58</v>
      </c>
      <c r="I45" s="24" t="s">
        <v>58</v>
      </c>
      <c r="J45" s="35">
        <f t="shared" si="0"/>
        <v>1.9923491092015762</v>
      </c>
      <c r="K45" s="35">
        <f t="shared" si="1"/>
        <v>40.597535501331308</v>
      </c>
      <c r="L45" s="29"/>
    </row>
    <row r="46" spans="2:12" s="5" customFormat="1" ht="25.5" customHeight="1" x14ac:dyDescent="0.25">
      <c r="B46" s="85" t="s">
        <v>61</v>
      </c>
      <c r="C46" s="25">
        <f>C47+C48+C49+C50+C51</f>
        <v>34545049855.18</v>
      </c>
      <c r="D46" s="25">
        <f>D47+D48+D49+D50+D51</f>
        <v>28123934088</v>
      </c>
      <c r="E46" s="23" t="s">
        <v>58</v>
      </c>
      <c r="F46" s="23" t="s">
        <v>58</v>
      </c>
      <c r="G46" s="23" t="s">
        <v>58</v>
      </c>
      <c r="H46" s="23" t="s">
        <v>58</v>
      </c>
      <c r="I46" s="23" t="s">
        <v>58</v>
      </c>
      <c r="J46" s="34">
        <f t="shared" si="0"/>
        <v>22.787114061512625</v>
      </c>
      <c r="K46" s="34">
        <f t="shared" si="1"/>
        <v>81.412341872138995</v>
      </c>
      <c r="L46" s="30"/>
    </row>
    <row r="47" spans="2:12" ht="13.5" customHeight="1" outlineLevel="1" x14ac:dyDescent="0.25">
      <c r="B47" s="32" t="s">
        <v>48</v>
      </c>
      <c r="C47" s="22">
        <f>9280217083</f>
        <v>9280217083</v>
      </c>
      <c r="D47" s="22">
        <f>6962202468</f>
        <v>6962202468</v>
      </c>
      <c r="E47" s="24" t="s">
        <v>58</v>
      </c>
      <c r="F47" s="24" t="s">
        <v>58</v>
      </c>
      <c r="G47" s="24" t="s">
        <v>58</v>
      </c>
      <c r="H47" s="24" t="s">
        <v>58</v>
      </c>
      <c r="I47" s="24" t="s">
        <v>58</v>
      </c>
      <c r="J47" s="35">
        <f t="shared" si="0"/>
        <v>5.6410494087081968</v>
      </c>
      <c r="K47" s="35">
        <f t="shared" si="1"/>
        <v>75.021978534895879</v>
      </c>
      <c r="L47" s="29"/>
    </row>
    <row r="48" spans="2:12" ht="13.5" customHeight="1" outlineLevel="1" x14ac:dyDescent="0.25">
      <c r="B48" s="54" t="s">
        <v>47</v>
      </c>
      <c r="C48" s="24">
        <f>24821727389.25</f>
        <v>24821727389.25</v>
      </c>
      <c r="D48" s="24">
        <f>20818129498</f>
        <v>20818129498</v>
      </c>
      <c r="E48" s="24" t="s">
        <v>58</v>
      </c>
      <c r="F48" s="24" t="s">
        <v>58</v>
      </c>
      <c r="G48" s="24" t="s">
        <v>58</v>
      </c>
      <c r="H48" s="24" t="s">
        <v>58</v>
      </c>
      <c r="I48" s="24" t="s">
        <v>58</v>
      </c>
      <c r="J48" s="35">
        <f t="shared" si="0"/>
        <v>16.867664741849847</v>
      </c>
      <c r="K48" s="35">
        <f t="shared" si="1"/>
        <v>83.870591162064287</v>
      </c>
      <c r="L48" s="29"/>
    </row>
    <row r="49" spans="1:26" ht="13.5" customHeight="1" outlineLevel="1" x14ac:dyDescent="0.25">
      <c r="B49" s="54" t="s">
        <v>46</v>
      </c>
      <c r="C49" s="24">
        <f>0</f>
        <v>0</v>
      </c>
      <c r="D49" s="24">
        <f>0</f>
        <v>0</v>
      </c>
      <c r="E49" s="24" t="s">
        <v>58</v>
      </c>
      <c r="F49" s="24" t="s">
        <v>58</v>
      </c>
      <c r="G49" s="24" t="s">
        <v>58</v>
      </c>
      <c r="H49" s="24" t="s">
        <v>58</v>
      </c>
      <c r="I49" s="24" t="s">
        <v>58</v>
      </c>
      <c r="J49" s="35">
        <f t="shared" si="0"/>
        <v>0</v>
      </c>
      <c r="K49" s="35" t="str">
        <f t="shared" si="1"/>
        <v/>
      </c>
      <c r="L49" s="29"/>
    </row>
    <row r="50" spans="1:26" ht="13.5" customHeight="1" outlineLevel="1" x14ac:dyDescent="0.25">
      <c r="B50" s="54" t="s">
        <v>45</v>
      </c>
      <c r="C50" s="24">
        <f>341203358</f>
        <v>341203358</v>
      </c>
      <c r="D50" s="24">
        <f>255708909</f>
        <v>255708909</v>
      </c>
      <c r="E50" s="24" t="s">
        <v>58</v>
      </c>
      <c r="F50" s="24" t="s">
        <v>58</v>
      </c>
      <c r="G50" s="24" t="s">
        <v>58</v>
      </c>
      <c r="H50" s="24" t="s">
        <v>58</v>
      </c>
      <c r="I50" s="24" t="s">
        <v>58</v>
      </c>
      <c r="J50" s="35">
        <f t="shared" si="0"/>
        <v>0.20718538372674458</v>
      </c>
      <c r="K50" s="35">
        <f t="shared" si="1"/>
        <v>74.943256859740515</v>
      </c>
      <c r="L50" s="29"/>
    </row>
    <row r="51" spans="1:26" s="5" customFormat="1" ht="13.5" customHeight="1" outlineLevel="1" x14ac:dyDescent="0.25">
      <c r="B51" s="54" t="s">
        <v>43</v>
      </c>
      <c r="C51" s="24">
        <f>101902024.93</f>
        <v>101902024.93000001</v>
      </c>
      <c r="D51" s="24">
        <f>87893213</f>
        <v>87893213</v>
      </c>
      <c r="E51" s="24" t="s">
        <v>58</v>
      </c>
      <c r="F51" s="24" t="s">
        <v>58</v>
      </c>
      <c r="G51" s="24" t="s">
        <v>58</v>
      </c>
      <c r="H51" s="24" t="s">
        <v>58</v>
      </c>
      <c r="I51" s="24" t="s">
        <v>58</v>
      </c>
      <c r="J51" s="35">
        <f t="shared" si="0"/>
        <v>7.1214527227838956E-2</v>
      </c>
      <c r="K51" s="35">
        <f t="shared" si="1"/>
        <v>86.252665793812099</v>
      </c>
      <c r="L51" s="30"/>
    </row>
    <row r="52" spans="1:26" s="5" customFormat="1" x14ac:dyDescent="0.25">
      <c r="A52" s="2"/>
      <c r="B52" s="20"/>
      <c r="C52" s="7"/>
      <c r="D52" s="8"/>
      <c r="E52" s="16"/>
      <c r="F52" s="16"/>
      <c r="G52" s="16"/>
      <c r="H52" s="16"/>
      <c r="I52" s="16"/>
      <c r="J52" s="9"/>
      <c r="K52" s="9"/>
      <c r="L52" s="3"/>
    </row>
    <row r="53" spans="1:26" s="5" customFormat="1" ht="13.5" customHeight="1" x14ac:dyDescent="0.25">
      <c r="A53" s="2"/>
      <c r="B53" s="84" t="s">
        <v>5</v>
      </c>
      <c r="C53" s="41">
        <f t="shared" ref="C53:I53" si="4">+C6</f>
        <v>166067837673.79999</v>
      </c>
      <c r="D53" s="41">
        <f t="shared" si="4"/>
        <v>123420341918.16</v>
      </c>
      <c r="E53" s="41">
        <f t="shared" si="4"/>
        <v>2602560767.3400002</v>
      </c>
      <c r="F53" s="41">
        <f t="shared" si="4"/>
        <v>635409890.73000002</v>
      </c>
      <c r="G53" s="41">
        <f t="shared" si="4"/>
        <v>62666719.259999998</v>
      </c>
      <c r="H53" s="41">
        <f t="shared" si="4"/>
        <v>132573871.09999999</v>
      </c>
      <c r="I53" s="41">
        <f t="shared" si="4"/>
        <v>3142822.73</v>
      </c>
      <c r="J53" s="56">
        <f t="shared" si="0"/>
        <v>100</v>
      </c>
      <c r="K53" s="78">
        <f>IF(C53=0,"",100*D53/C53)</f>
        <v>74.319232216769961</v>
      </c>
      <c r="L53" s="80"/>
    </row>
    <row r="54" spans="1:26" s="5" customFormat="1" ht="13.5" customHeight="1" x14ac:dyDescent="0.25">
      <c r="A54" s="2"/>
      <c r="B54" s="86" t="s">
        <v>71</v>
      </c>
      <c r="C54" s="24">
        <f>23343892460.41</f>
        <v>23343892460.41</v>
      </c>
      <c r="D54" s="24">
        <f>8350831191.06001</f>
        <v>8350831191.06001</v>
      </c>
      <c r="E54" s="24">
        <f>0</f>
        <v>0</v>
      </c>
      <c r="F54" s="24">
        <f>0</f>
        <v>0</v>
      </c>
      <c r="G54" s="24">
        <f>0</f>
        <v>0</v>
      </c>
      <c r="H54" s="24">
        <f>0</f>
        <v>0</v>
      </c>
      <c r="I54" s="24">
        <f>4840.65</f>
        <v>4840.6499999999996</v>
      </c>
      <c r="J54" s="38">
        <f t="shared" si="0"/>
        <v>6.7661708445091193</v>
      </c>
      <c r="K54" s="79">
        <f>IF(C54=0,"",100*D54/C54)</f>
        <v>35.773087993883522</v>
      </c>
      <c r="L54" s="80"/>
    </row>
    <row r="55" spans="1:26" s="5" customFormat="1" ht="13.5" customHeight="1" x14ac:dyDescent="0.25">
      <c r="A55" s="2"/>
      <c r="B55" s="86" t="s">
        <v>72</v>
      </c>
      <c r="C55" s="24">
        <f>C53-C54</f>
        <v>142723945213.38998</v>
      </c>
      <c r="D55" s="24">
        <f t="shared" ref="D55:I55" si="5">D53-D54</f>
        <v>115069510727.09999</v>
      </c>
      <c r="E55" s="24">
        <f t="shared" si="5"/>
        <v>2602560767.3400002</v>
      </c>
      <c r="F55" s="24">
        <f t="shared" si="5"/>
        <v>635409890.73000002</v>
      </c>
      <c r="G55" s="24">
        <f t="shared" si="5"/>
        <v>62666719.259999998</v>
      </c>
      <c r="H55" s="24">
        <f t="shared" si="5"/>
        <v>132573871.09999999</v>
      </c>
      <c r="I55" s="24">
        <f t="shared" si="5"/>
        <v>3137982.08</v>
      </c>
      <c r="J55" s="38">
        <f t="shared" si="0"/>
        <v>93.233829155490881</v>
      </c>
      <c r="K55" s="79">
        <f>IF(C55=0,"",100*D55/C55)</f>
        <v>80.623829838123399</v>
      </c>
      <c r="L55" s="80"/>
    </row>
    <row r="56" spans="1:26" s="5" customFormat="1" ht="13.5" customHeight="1" x14ac:dyDescent="0.25">
      <c r="A56" s="2"/>
      <c r="B56" s="105" t="s">
        <v>109</v>
      </c>
      <c r="C56" s="105"/>
      <c r="D56" s="105"/>
      <c r="E56" s="105"/>
      <c r="F56" s="76"/>
      <c r="G56" s="76"/>
      <c r="H56" s="76"/>
      <c r="I56" s="76"/>
      <c r="J56" s="9"/>
      <c r="K56" s="9"/>
      <c r="L56" s="9"/>
    </row>
    <row r="57" spans="1:26" ht="15.5" x14ac:dyDescent="0.25">
      <c r="B57" s="91" t="str">
        <f>CONCATENATE("Informacja z wykonania budżetów gmin za ",$D$114," ",$C$115," rok     ",$C$117,"")</f>
        <v xml:space="preserve">Informacja z wykonania budżetów gmin za III Kwartały 2022 rok     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26" s="5" customFormat="1" ht="7.5" customHeight="1" x14ac:dyDescent="0.25">
      <c r="B58" s="6"/>
      <c r="C58" s="7"/>
      <c r="D58" s="8"/>
      <c r="E58" s="8"/>
      <c r="F58" s="4"/>
      <c r="G58" s="4"/>
      <c r="H58" s="4"/>
      <c r="I58" s="4"/>
      <c r="J58" s="4"/>
      <c r="K58" s="9"/>
      <c r="L58" s="9"/>
      <c r="M58" s="3"/>
    </row>
    <row r="59" spans="1:26" ht="29.25" customHeight="1" x14ac:dyDescent="0.25">
      <c r="B59" s="125" t="s">
        <v>0</v>
      </c>
      <c r="C59" s="109" t="s">
        <v>54</v>
      </c>
      <c r="D59" s="109" t="s">
        <v>56</v>
      </c>
      <c r="E59" s="109" t="s">
        <v>55</v>
      </c>
      <c r="F59" s="109" t="s">
        <v>12</v>
      </c>
      <c r="G59" s="109"/>
      <c r="H59" s="109"/>
      <c r="I59" s="128" t="s">
        <v>82</v>
      </c>
      <c r="J59" s="109" t="s">
        <v>2</v>
      </c>
      <c r="K59" s="106" t="s">
        <v>18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" customHeight="1" x14ac:dyDescent="0.25">
      <c r="B60" s="125"/>
      <c r="C60" s="109"/>
      <c r="D60" s="109"/>
      <c r="E60" s="110"/>
      <c r="F60" s="111" t="s">
        <v>57</v>
      </c>
      <c r="G60" s="112" t="s">
        <v>34</v>
      </c>
      <c r="H60" s="110"/>
      <c r="I60" s="129"/>
      <c r="J60" s="109"/>
      <c r="K60" s="106"/>
      <c r="L60" s="11"/>
      <c r="M60" s="12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57.75" customHeight="1" x14ac:dyDescent="0.25">
      <c r="B61" s="125"/>
      <c r="C61" s="109"/>
      <c r="D61" s="109"/>
      <c r="E61" s="110"/>
      <c r="F61" s="110"/>
      <c r="G61" s="18" t="s">
        <v>52</v>
      </c>
      <c r="H61" s="18" t="s">
        <v>53</v>
      </c>
      <c r="I61" s="130"/>
      <c r="J61" s="109"/>
      <c r="K61" s="106"/>
      <c r="L61" s="11"/>
      <c r="M61" s="10"/>
      <c r="N61" s="2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5">
      <c r="B62" s="125"/>
      <c r="C62" s="122" t="s">
        <v>75</v>
      </c>
      <c r="D62" s="123"/>
      <c r="E62" s="123"/>
      <c r="F62" s="123"/>
      <c r="G62" s="123"/>
      <c r="H62" s="123"/>
      <c r="I62" s="124"/>
      <c r="J62" s="127" t="s">
        <v>4</v>
      </c>
      <c r="K62" s="127"/>
      <c r="N62" s="2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5">
      <c r="B63" s="17">
        <v>1</v>
      </c>
      <c r="C63" s="19">
        <v>2</v>
      </c>
      <c r="D63" s="19">
        <v>3</v>
      </c>
      <c r="E63" s="19">
        <v>4</v>
      </c>
      <c r="F63" s="17">
        <v>5</v>
      </c>
      <c r="G63" s="17">
        <v>6</v>
      </c>
      <c r="H63" s="19">
        <v>7</v>
      </c>
      <c r="I63" s="19">
        <v>8</v>
      </c>
      <c r="J63" s="17">
        <v>9</v>
      </c>
      <c r="K63" s="19">
        <v>10</v>
      </c>
      <c r="M63" s="10"/>
      <c r="N63" s="2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5.5" customHeight="1" x14ac:dyDescent="0.25">
      <c r="B64" s="84" t="s">
        <v>62</v>
      </c>
      <c r="C64" s="57">
        <f>190571477533.16</f>
        <v>190571477533.16</v>
      </c>
      <c r="D64" s="68">
        <f>115149208471.32</f>
        <v>115149208471.32001</v>
      </c>
      <c r="E64" s="68">
        <f>147121821410.27</f>
        <v>147121821410.26999</v>
      </c>
      <c r="F64" s="57">
        <f>3275358398.15</f>
        <v>3275358398.1500001</v>
      </c>
      <c r="G64" s="57">
        <f>1453803.47</f>
        <v>1453803.47</v>
      </c>
      <c r="H64" s="57">
        <f>8722249.11</f>
        <v>8722249.1099999994</v>
      </c>
      <c r="I64" s="69">
        <f>0</f>
        <v>0</v>
      </c>
      <c r="J64" s="52">
        <f>IF($D$64=0,"",100*$D64/$D$64)</f>
        <v>100</v>
      </c>
      <c r="K64" s="52">
        <f>IF(C64=0,"",100*D64/C64)</f>
        <v>60.423107362057209</v>
      </c>
      <c r="N64" s="77"/>
    </row>
    <row r="65" spans="2:14" ht="13.5" customHeight="1" x14ac:dyDescent="0.25">
      <c r="B65" s="85" t="s">
        <v>14</v>
      </c>
      <c r="C65" s="26">
        <f>46822179729.87</f>
        <v>46822179729.870003</v>
      </c>
      <c r="D65" s="26">
        <f>15593178227.62</f>
        <v>15593178227.620001</v>
      </c>
      <c r="E65" s="26">
        <f>28789903948.21</f>
        <v>28789903948.209999</v>
      </c>
      <c r="F65" s="26">
        <f>1266945050.03</f>
        <v>1266945050.03</v>
      </c>
      <c r="G65" s="26">
        <f>63554.24</f>
        <v>63554.239999999998</v>
      </c>
      <c r="H65" s="26">
        <f>1157130.08</f>
        <v>1157130.08</v>
      </c>
      <c r="I65" s="70">
        <f>0</f>
        <v>0</v>
      </c>
      <c r="J65" s="52">
        <f t="shared" ref="J65:J73" si="6">IF($D$64=0,"",100*$D65/$D$64)</f>
        <v>13.541715513835914</v>
      </c>
      <c r="K65" s="52">
        <f t="shared" ref="K65:K73" si="7">IF(C65=0,"",100*D65/C65)</f>
        <v>33.30297375641485</v>
      </c>
      <c r="N65" s="61"/>
    </row>
    <row r="66" spans="2:14" ht="13.5" customHeight="1" outlineLevel="1" x14ac:dyDescent="0.25">
      <c r="B66" s="32" t="s">
        <v>13</v>
      </c>
      <c r="C66" s="22">
        <f>45370115486.72</f>
        <v>45370115486.720001</v>
      </c>
      <c r="D66" s="22">
        <f>14546065250.13</f>
        <v>14546065250.129999</v>
      </c>
      <c r="E66" s="22">
        <f>27698079528.58</f>
        <v>27698079528.580002</v>
      </c>
      <c r="F66" s="22">
        <f>1263974007.47</f>
        <v>1263974007.47</v>
      </c>
      <c r="G66" s="22">
        <f>63554.24</f>
        <v>63554.239999999998</v>
      </c>
      <c r="H66" s="22">
        <f>1157130.08</f>
        <v>1157130.08</v>
      </c>
      <c r="I66" s="66">
        <f>0</f>
        <v>0</v>
      </c>
      <c r="J66" s="52">
        <f t="shared" si="6"/>
        <v>12.632362343813211</v>
      </c>
      <c r="K66" s="52">
        <f t="shared" si="7"/>
        <v>32.060895358284213</v>
      </c>
      <c r="N66" s="76"/>
    </row>
    <row r="67" spans="2:14" ht="27" customHeight="1" x14ac:dyDescent="0.25">
      <c r="B67" s="85" t="s">
        <v>63</v>
      </c>
      <c r="C67" s="26">
        <f t="shared" ref="C67:I67" si="8">C64-C65</f>
        <v>143749297803.29001</v>
      </c>
      <c r="D67" s="26">
        <f>D64-D65</f>
        <v>99556030243.700012</v>
      </c>
      <c r="E67" s="26">
        <f>E64-E65</f>
        <v>118331917462.06</v>
      </c>
      <c r="F67" s="26">
        <f t="shared" si="8"/>
        <v>2008413348.1200001</v>
      </c>
      <c r="G67" s="26">
        <f t="shared" si="8"/>
        <v>1390249.23</v>
      </c>
      <c r="H67" s="26">
        <f t="shared" si="8"/>
        <v>7565119.0299999993</v>
      </c>
      <c r="I67" s="70">
        <f t="shared" si="8"/>
        <v>0</v>
      </c>
      <c r="J67" s="52">
        <f t="shared" si="6"/>
        <v>86.458284486164104</v>
      </c>
      <c r="K67" s="52">
        <f t="shared" si="7"/>
        <v>69.256707173578604</v>
      </c>
      <c r="N67" s="61"/>
    </row>
    <row r="68" spans="2:14" outlineLevel="1" x14ac:dyDescent="0.25">
      <c r="B68" s="32" t="s">
        <v>99</v>
      </c>
      <c r="C68" s="22">
        <f>53307515835.2201</f>
        <v>53307515835.2201</v>
      </c>
      <c r="D68" s="22">
        <f>38418981049.58</f>
        <v>38418981049.580002</v>
      </c>
      <c r="E68" s="22">
        <f>48981950750.3901</f>
        <v>48981950750.390099</v>
      </c>
      <c r="F68" s="22">
        <f>858338806.44</f>
        <v>858338806.44000006</v>
      </c>
      <c r="G68" s="22">
        <f>764315.83</f>
        <v>764315.83</v>
      </c>
      <c r="H68" s="22">
        <f>240918.39</f>
        <v>240918.39</v>
      </c>
      <c r="I68" s="66">
        <f>0</f>
        <v>0</v>
      </c>
      <c r="J68" s="52">
        <f t="shared" si="6"/>
        <v>33.364520312051418</v>
      </c>
      <c r="K68" s="52">
        <f t="shared" si="7"/>
        <v>72.070477206887034</v>
      </c>
      <c r="N68" s="76"/>
    </row>
    <row r="69" spans="2:14" ht="13.5" customHeight="1" outlineLevel="1" x14ac:dyDescent="0.25">
      <c r="B69" s="54" t="s">
        <v>51</v>
      </c>
      <c r="C69" s="59">
        <f>10708485435.34</f>
        <v>10708485435.34</v>
      </c>
      <c r="D69" s="59">
        <f>8134718313.13</f>
        <v>8134718313.1300001</v>
      </c>
      <c r="E69" s="59">
        <f>9080679860.70999</f>
        <v>9080679860.7099895</v>
      </c>
      <c r="F69" s="59">
        <f>23041524.44</f>
        <v>23041524.440000001</v>
      </c>
      <c r="G69" s="59">
        <f>0</f>
        <v>0</v>
      </c>
      <c r="H69" s="59">
        <f>49518.2</f>
        <v>49518.2</v>
      </c>
      <c r="I69" s="71">
        <f>0</f>
        <v>0</v>
      </c>
      <c r="J69" s="52">
        <f t="shared" si="6"/>
        <v>7.0645021543123319</v>
      </c>
      <c r="K69" s="52">
        <f t="shared" si="7"/>
        <v>75.965162041346304</v>
      </c>
      <c r="N69" s="75"/>
    </row>
    <row r="70" spans="2:14" ht="13.5" customHeight="1" outlineLevel="1" x14ac:dyDescent="0.25">
      <c r="B70" s="54" t="s">
        <v>50</v>
      </c>
      <c r="C70" s="24">
        <f>1631344546.14</f>
        <v>1631344546.1400001</v>
      </c>
      <c r="D70" s="24">
        <f>968762859.03</f>
        <v>968762859.02999997</v>
      </c>
      <c r="E70" s="24">
        <f>1132041685.67</f>
        <v>1132041685.6700001</v>
      </c>
      <c r="F70" s="24">
        <f>73650459.69</f>
        <v>73650459.689999998</v>
      </c>
      <c r="G70" s="24">
        <f>0</f>
        <v>0</v>
      </c>
      <c r="H70" s="24">
        <f>415386.35</f>
        <v>415386.35</v>
      </c>
      <c r="I70" s="72">
        <f>0</f>
        <v>0</v>
      </c>
      <c r="J70" s="52">
        <f t="shared" si="6"/>
        <v>0.84131091467405783</v>
      </c>
      <c r="K70" s="52">
        <f t="shared" si="7"/>
        <v>59.384319598348164</v>
      </c>
      <c r="N70" s="76"/>
    </row>
    <row r="71" spans="2:14" ht="24" customHeight="1" outlineLevel="1" x14ac:dyDescent="0.25">
      <c r="B71" s="54" t="s">
        <v>69</v>
      </c>
      <c r="C71" s="59">
        <f>91449649.48</f>
        <v>91449649.480000004</v>
      </c>
      <c r="D71" s="59">
        <f>3423729.54</f>
        <v>3423729.54</v>
      </c>
      <c r="E71" s="59">
        <f>12262939.9</f>
        <v>12262939.9</v>
      </c>
      <c r="F71" s="59">
        <f>0</f>
        <v>0</v>
      </c>
      <c r="G71" s="59">
        <f>0</f>
        <v>0</v>
      </c>
      <c r="H71" s="59">
        <f>0</f>
        <v>0</v>
      </c>
      <c r="I71" s="71">
        <f>0</f>
        <v>0</v>
      </c>
      <c r="J71" s="52">
        <f t="shared" si="6"/>
        <v>2.9732983712630052E-3</v>
      </c>
      <c r="K71" s="52">
        <f t="shared" si="7"/>
        <v>3.7438410748078024</v>
      </c>
      <c r="N71" s="75"/>
    </row>
    <row r="72" spans="2:14" ht="13.5" customHeight="1" outlineLevel="1" x14ac:dyDescent="0.25">
      <c r="B72" s="54" t="s">
        <v>70</v>
      </c>
      <c r="C72" s="59">
        <f>38874741326.7</f>
        <v>38874741326.699997</v>
      </c>
      <c r="D72" s="59">
        <f>27285425768.92</f>
        <v>27285425768.919998</v>
      </c>
      <c r="E72" s="59">
        <f>29664977990.6</f>
        <v>29664977990.599998</v>
      </c>
      <c r="F72" s="59">
        <f>127052203.02</f>
        <v>127052203.02</v>
      </c>
      <c r="G72" s="59">
        <f>186066.81</f>
        <v>186066.81</v>
      </c>
      <c r="H72" s="59">
        <f>224441.78</f>
        <v>224441.78</v>
      </c>
      <c r="I72" s="73">
        <f>0</f>
        <v>0</v>
      </c>
      <c r="J72" s="52">
        <f t="shared" si="6"/>
        <v>23.695712833072516</v>
      </c>
      <c r="K72" s="52">
        <f t="shared" si="7"/>
        <v>70.188057431985513</v>
      </c>
      <c r="N72" s="75"/>
    </row>
    <row r="73" spans="2:14" ht="13.5" customHeight="1" outlineLevel="1" x14ac:dyDescent="0.25">
      <c r="B73" s="54" t="s">
        <v>49</v>
      </c>
      <c r="C73" s="24">
        <f t="shared" ref="C73:I73" si="9">C67-C68-C69-C70-C71-C72</f>
        <v>39135761010.409927</v>
      </c>
      <c r="D73" s="24">
        <f>D67-D68-D69-D70-D71-D72</f>
        <v>24744718523.500015</v>
      </c>
      <c r="E73" s="24">
        <f>E67-E68-E69-E70-E71-E72</f>
        <v>29460004234.789902</v>
      </c>
      <c r="F73" s="24">
        <f t="shared" si="9"/>
        <v>926330354.52999997</v>
      </c>
      <c r="G73" s="24">
        <f t="shared" si="9"/>
        <v>439866.59</v>
      </c>
      <c r="H73" s="24">
        <f t="shared" si="9"/>
        <v>6634854.3099999996</v>
      </c>
      <c r="I73" s="71">
        <f t="shared" si="9"/>
        <v>0</v>
      </c>
      <c r="J73" s="52">
        <f t="shared" si="6"/>
        <v>21.489264973682502</v>
      </c>
      <c r="K73" s="52">
        <f t="shared" si="7"/>
        <v>63.227896646542881</v>
      </c>
      <c r="N73" s="76"/>
    </row>
    <row r="74" spans="2:14" ht="18" customHeight="1" x14ac:dyDescent="0.25">
      <c r="B74" s="84" t="s">
        <v>15</v>
      </c>
      <c r="C74" s="26">
        <f>C6-C64</f>
        <v>-24503639859.360016</v>
      </c>
      <c r="D74" s="26">
        <f>D6-D64</f>
        <v>8271133446.8399963</v>
      </c>
      <c r="E74" s="81"/>
      <c r="F74" s="61"/>
      <c r="G74" s="61"/>
      <c r="H74" s="61"/>
      <c r="I74" s="82"/>
      <c r="J74" s="28"/>
      <c r="K74" s="28"/>
      <c r="L74" s="13"/>
      <c r="N74" s="61"/>
    </row>
    <row r="75" spans="2:14" ht="39" x14ac:dyDescent="0.25">
      <c r="B75" s="87" t="s">
        <v>104</v>
      </c>
      <c r="C75" s="26">
        <f>+C55-C67</f>
        <v>-1025352589.9000244</v>
      </c>
      <c r="D75" s="26">
        <f>+D55-D67</f>
        <v>15513480483.399979</v>
      </c>
      <c r="E75" s="81"/>
      <c r="F75" s="61"/>
      <c r="G75" s="61"/>
      <c r="H75" s="61"/>
      <c r="I75" s="61"/>
      <c r="J75" s="28"/>
      <c r="K75" s="28"/>
      <c r="L75" s="13"/>
      <c r="N75" s="61"/>
    </row>
    <row r="76" spans="2:14" ht="13" x14ac:dyDescent="0.25">
      <c r="B76" s="60"/>
      <c r="C76" s="61"/>
      <c r="D76" s="61"/>
      <c r="E76" s="61"/>
      <c r="F76" s="61"/>
      <c r="G76" s="61"/>
      <c r="H76" s="61"/>
      <c r="I76" s="61"/>
      <c r="J76" s="61"/>
      <c r="K76" s="28"/>
      <c r="L76" s="28"/>
      <c r="M76" s="13"/>
    </row>
    <row r="77" spans="2:14" ht="14.25" customHeight="1" x14ac:dyDescent="0.25">
      <c r="B77" s="103" t="s">
        <v>110</v>
      </c>
      <c r="C77" s="104"/>
      <c r="D77" s="104"/>
      <c r="E77" s="104"/>
      <c r="F77" s="104"/>
      <c r="G77" s="61"/>
      <c r="H77" s="61"/>
      <c r="I77" s="61"/>
      <c r="J77" s="61"/>
      <c r="K77" s="28"/>
      <c r="L77" s="28"/>
      <c r="M77" s="13"/>
    </row>
    <row r="78" spans="2:14" ht="27" customHeight="1" x14ac:dyDescent="0.25">
      <c r="B78" s="84" t="s">
        <v>106</v>
      </c>
      <c r="C78" s="41">
        <f>11685362887.95</f>
        <v>11685362887.950001</v>
      </c>
      <c r="D78" s="41">
        <f>4780403500.52</f>
        <v>4780403500.5200005</v>
      </c>
      <c r="E78" s="41">
        <f>7510646066.43999</f>
        <v>7510646066.43999</v>
      </c>
      <c r="F78" s="41">
        <f>255087099.54</f>
        <v>255087099.53999999</v>
      </c>
      <c r="G78" s="41">
        <f>0</f>
        <v>0</v>
      </c>
      <c r="H78" s="41">
        <f>23286.02</f>
        <v>23286.02</v>
      </c>
      <c r="I78" s="41">
        <f>0</f>
        <v>0</v>
      </c>
      <c r="J78" s="62">
        <f>IF($D$78=0,"",100*$D78/$D$78)</f>
        <v>100</v>
      </c>
      <c r="K78" s="62">
        <f>IF(C78=0,"",100*D78/C78)</f>
        <v>40.90932858790012</v>
      </c>
      <c r="L78" s="13"/>
    </row>
    <row r="79" spans="2:14" ht="15" customHeight="1" x14ac:dyDescent="0.25">
      <c r="B79" s="88" t="s">
        <v>73</v>
      </c>
      <c r="C79" s="22">
        <f>9567478220.20999</f>
        <v>9567478220.2099895</v>
      </c>
      <c r="D79" s="22">
        <f>3764777386.06</f>
        <v>3764777386.0599999</v>
      </c>
      <c r="E79" s="22">
        <f>6235820670.22999</f>
        <v>6235820670.22999</v>
      </c>
      <c r="F79" s="22">
        <f>208577355.23</f>
        <v>208577355.22999999</v>
      </c>
      <c r="G79" s="22">
        <f>0</f>
        <v>0</v>
      </c>
      <c r="H79" s="22">
        <f>17751.02</f>
        <v>17751.02</v>
      </c>
      <c r="I79" s="22">
        <f>0</f>
        <v>0</v>
      </c>
      <c r="J79" s="62">
        <f>IF($D$78=0,"",100*$D79/$D$78)</f>
        <v>78.754385182139472</v>
      </c>
      <c r="K79" s="62">
        <f>IF(C79=0,"",100*D79/C79)</f>
        <v>39.34973562947259</v>
      </c>
      <c r="L79" s="13"/>
    </row>
    <row r="80" spans="2:14" ht="14.25" customHeight="1" x14ac:dyDescent="0.25">
      <c r="B80" s="89" t="s">
        <v>74</v>
      </c>
      <c r="C80" s="22">
        <f>+C78-C79</f>
        <v>2117884667.7400112</v>
      </c>
      <c r="D80" s="22">
        <f t="shared" ref="D80:I80" si="10">+D78-D79</f>
        <v>1015626114.4600005</v>
      </c>
      <c r="E80" s="22">
        <f t="shared" si="10"/>
        <v>1274825396.21</v>
      </c>
      <c r="F80" s="22">
        <f t="shared" si="10"/>
        <v>46509744.310000002</v>
      </c>
      <c r="G80" s="22">
        <f t="shared" si="10"/>
        <v>0</v>
      </c>
      <c r="H80" s="22">
        <f t="shared" si="10"/>
        <v>5535</v>
      </c>
      <c r="I80" s="22">
        <f t="shared" si="10"/>
        <v>0</v>
      </c>
      <c r="J80" s="62">
        <f>IF($D$78=0,"",100*$D80/$D$78)</f>
        <v>21.245614817860524</v>
      </c>
      <c r="K80" s="62">
        <f>IF(C80=0,"",100*D80/C80)</f>
        <v>47.954741347826662</v>
      </c>
      <c r="L80" s="10"/>
    </row>
    <row r="81" spans="2:13" ht="15.5" x14ac:dyDescent="0.25">
      <c r="B81" s="91" t="str">
        <f>CONCATENATE("Informacja z wykonania budżetów gmin za ",$D$114," ",$C$115," rok     ",$C$117,"")</f>
        <v xml:space="preserve">Informacja z wykonania budżetów gmin za III Kwartały 2022 rok     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3" spans="2:13" ht="18" customHeight="1" x14ac:dyDescent="0.25">
      <c r="B83" s="40" t="s">
        <v>16</v>
      </c>
      <c r="C83" s="67" t="s">
        <v>17</v>
      </c>
      <c r="D83" s="67" t="s">
        <v>1</v>
      </c>
      <c r="E83" s="113" t="s">
        <v>58</v>
      </c>
      <c r="F83" s="114"/>
      <c r="G83" s="114"/>
      <c r="H83" s="114"/>
      <c r="I83" s="115"/>
      <c r="J83" s="19" t="s">
        <v>26</v>
      </c>
      <c r="K83" s="19" t="s">
        <v>27</v>
      </c>
    </row>
    <row r="84" spans="2:13" ht="13.5" customHeight="1" x14ac:dyDescent="0.25">
      <c r="B84" s="40"/>
      <c r="C84" s="111" t="s">
        <v>75</v>
      </c>
      <c r="D84" s="126"/>
      <c r="E84" s="116"/>
      <c r="F84" s="117"/>
      <c r="G84" s="117"/>
      <c r="H84" s="117"/>
      <c r="I84" s="118"/>
      <c r="J84" s="111" t="s">
        <v>4</v>
      </c>
      <c r="K84" s="131"/>
      <c r="M84" s="14"/>
    </row>
    <row r="85" spans="2:13" ht="11.25" customHeight="1" x14ac:dyDescent="0.25">
      <c r="B85" s="39">
        <v>1</v>
      </c>
      <c r="C85" s="42">
        <v>2</v>
      </c>
      <c r="D85" s="42">
        <v>3</v>
      </c>
      <c r="E85" s="119"/>
      <c r="F85" s="120"/>
      <c r="G85" s="120"/>
      <c r="H85" s="120"/>
      <c r="I85" s="121"/>
      <c r="J85" s="31">
        <v>4</v>
      </c>
      <c r="K85" s="31">
        <v>5</v>
      </c>
      <c r="M85" s="10"/>
    </row>
    <row r="86" spans="2:13" ht="27" customHeight="1" x14ac:dyDescent="0.25">
      <c r="B86" s="90" t="s">
        <v>64</v>
      </c>
      <c r="C86" s="43">
        <f>29767008967.01</f>
        <v>29767008967.009998</v>
      </c>
      <c r="D86" s="43">
        <f>36200806318.09</f>
        <v>36200806318.089996</v>
      </c>
      <c r="E86" s="43" t="s">
        <v>58</v>
      </c>
      <c r="F86" s="43" t="s">
        <v>58</v>
      </c>
      <c r="G86" s="43" t="s">
        <v>58</v>
      </c>
      <c r="H86" s="43" t="s">
        <v>58</v>
      </c>
      <c r="I86" s="43" t="s">
        <v>58</v>
      </c>
      <c r="J86" s="37">
        <f t="shared" ref="J86:J94" si="11">IF($D$86=0,"",100*$D86/$D$86)</f>
        <v>100</v>
      </c>
      <c r="K86" s="36">
        <f t="shared" ref="K86:K99" si="12">IF(C86=0,"",100*D86/C86)</f>
        <v>121.61385229604495</v>
      </c>
    </row>
    <row r="87" spans="2:13" ht="36" customHeight="1" x14ac:dyDescent="0.25">
      <c r="B87" s="98" t="s">
        <v>107</v>
      </c>
      <c r="C87" s="44">
        <f>8394452932.62</f>
        <v>8394452932.6199999</v>
      </c>
      <c r="D87" s="44">
        <f>987427014.37</f>
        <v>987427014.37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50">
        <f t="shared" si="11"/>
        <v>2.727638179364448</v>
      </c>
      <c r="K87" s="51">
        <f t="shared" si="12"/>
        <v>11.762851281623821</v>
      </c>
    </row>
    <row r="88" spans="2:13" x14ac:dyDescent="0.25">
      <c r="B88" s="99" t="s">
        <v>83</v>
      </c>
      <c r="C88" s="63">
        <f>339985328.09</f>
        <v>339985328.08999997</v>
      </c>
      <c r="D88" s="63">
        <f>11080000</f>
        <v>11080000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64">
        <f t="shared" si="11"/>
        <v>3.0607053065730156E-2</v>
      </c>
      <c r="K88" s="58">
        <f t="shared" si="12"/>
        <v>3.2589641624378958</v>
      </c>
    </row>
    <row r="89" spans="2:13" ht="13.5" customHeight="1" x14ac:dyDescent="0.25">
      <c r="B89" s="100" t="s">
        <v>84</v>
      </c>
      <c r="C89" s="63">
        <f>113224087.34</f>
        <v>113224087.34</v>
      </c>
      <c r="D89" s="63">
        <f>29651418.23</f>
        <v>29651418.23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4">
        <f t="shared" si="11"/>
        <v>8.1908170689509799E-2</v>
      </c>
      <c r="K89" s="58">
        <f t="shared" si="12"/>
        <v>26.188259871735522</v>
      </c>
    </row>
    <row r="90" spans="2:13" ht="50.15" customHeight="1" x14ac:dyDescent="0.25">
      <c r="B90" s="100" t="s">
        <v>100</v>
      </c>
      <c r="C90" s="63">
        <f>3684605072.51</f>
        <v>3684605072.5100002</v>
      </c>
      <c r="D90" s="63">
        <f>6094342973.3</f>
        <v>6094342973.3000002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4">
        <f t="shared" si="11"/>
        <v>16.834826605104041</v>
      </c>
      <c r="K90" s="58">
        <f t="shared" si="12"/>
        <v>165.40016781631513</v>
      </c>
    </row>
    <row r="91" spans="2:13" ht="35.15" customHeight="1" x14ac:dyDescent="0.25">
      <c r="B91" s="100" t="s">
        <v>97</v>
      </c>
      <c r="C91" s="63">
        <f>6516345980.51</f>
        <v>6516345980.5100002</v>
      </c>
      <c r="D91" s="63">
        <f>7357124633.61</f>
        <v>7357124633.6099997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4">
        <f t="shared" si="11"/>
        <v>20.323096035387348</v>
      </c>
      <c r="K91" s="58">
        <f t="shared" si="12"/>
        <v>112.90260915572497</v>
      </c>
    </row>
    <row r="92" spans="2:13" ht="13.5" customHeight="1" x14ac:dyDescent="0.25">
      <c r="B92" s="100" t="s">
        <v>85</v>
      </c>
      <c r="C92" s="63">
        <f>0</f>
        <v>0</v>
      </c>
      <c r="D92" s="63">
        <f>0</f>
        <v>0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4">
        <f t="shared" si="11"/>
        <v>0</v>
      </c>
      <c r="K92" s="58" t="str">
        <f t="shared" si="12"/>
        <v/>
      </c>
    </row>
    <row r="93" spans="2:13" ht="35.15" customHeight="1" x14ac:dyDescent="0.25">
      <c r="B93" s="100" t="s">
        <v>93</v>
      </c>
      <c r="C93" s="63">
        <f>10932881054.33</f>
        <v>10932881054.33</v>
      </c>
      <c r="D93" s="63">
        <f>21451602223.02</f>
        <v>21451602223.02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4">
        <f t="shared" si="11"/>
        <v>59.257249782031415</v>
      </c>
      <c r="K93" s="58">
        <f t="shared" si="12"/>
        <v>196.21179555890282</v>
      </c>
    </row>
    <row r="94" spans="2:13" ht="13.5" customHeight="1" x14ac:dyDescent="0.25">
      <c r="B94" s="100" t="s">
        <v>77</v>
      </c>
      <c r="C94" s="63">
        <f>125499839.7</f>
        <v>125499839.7</v>
      </c>
      <c r="D94" s="63">
        <f>280658055.56</f>
        <v>280658055.56</v>
      </c>
      <c r="E94" s="43" t="s">
        <v>58</v>
      </c>
      <c r="F94" s="43" t="s">
        <v>58</v>
      </c>
      <c r="G94" s="43" t="s">
        <v>58</v>
      </c>
      <c r="H94" s="43" t="s">
        <v>58</v>
      </c>
      <c r="I94" s="43" t="s">
        <v>58</v>
      </c>
      <c r="J94" s="64">
        <f t="shared" si="11"/>
        <v>0.77528122742324568</v>
      </c>
      <c r="K94" s="58">
        <f t="shared" si="12"/>
        <v>223.63220242423944</v>
      </c>
    </row>
    <row r="95" spans="2:13" ht="27" customHeight="1" x14ac:dyDescent="0.25">
      <c r="B95" s="90" t="s">
        <v>65</v>
      </c>
      <c r="C95" s="49">
        <f>5237558591.8</f>
        <v>5237558591.8000002</v>
      </c>
      <c r="D95" s="49">
        <f>4658323848.74</f>
        <v>4658323848.7399998</v>
      </c>
      <c r="E95" s="43" t="s">
        <v>58</v>
      </c>
      <c r="F95" s="43" t="s">
        <v>58</v>
      </c>
      <c r="G95" s="43" t="s">
        <v>58</v>
      </c>
      <c r="H95" s="43" t="s">
        <v>58</v>
      </c>
      <c r="I95" s="43" t="s">
        <v>58</v>
      </c>
      <c r="J95" s="37">
        <f>IF($D$95=0,"",100*$D95/$D$95)</f>
        <v>100</v>
      </c>
      <c r="K95" s="36">
        <f t="shared" si="12"/>
        <v>88.940749150437028</v>
      </c>
    </row>
    <row r="96" spans="2:13" ht="36" customHeight="1" x14ac:dyDescent="0.25">
      <c r="B96" s="98" t="s">
        <v>102</v>
      </c>
      <c r="C96" s="44">
        <f>4362824555.74</f>
        <v>4362824555.7399998</v>
      </c>
      <c r="D96" s="48">
        <f>2851273635.98</f>
        <v>2851273635.98</v>
      </c>
      <c r="E96" s="43" t="s">
        <v>58</v>
      </c>
      <c r="F96" s="43" t="s">
        <v>58</v>
      </c>
      <c r="G96" s="43" t="s">
        <v>58</v>
      </c>
      <c r="H96" s="43" t="s">
        <v>58</v>
      </c>
      <c r="I96" s="43" t="s">
        <v>58</v>
      </c>
      <c r="J96" s="50">
        <f>IF($D$95=0,"",100*$D96/$D$95)</f>
        <v>61.208145430919807</v>
      </c>
      <c r="K96" s="51">
        <f t="shared" si="12"/>
        <v>65.35384587557364</v>
      </c>
    </row>
    <row r="97" spans="2:11" ht="13.5" customHeight="1" x14ac:dyDescent="0.25">
      <c r="B97" s="99" t="s">
        <v>86</v>
      </c>
      <c r="C97" s="63">
        <f>93360628.27</f>
        <v>93360628.269999996</v>
      </c>
      <c r="D97" s="63">
        <f>51226175.28</f>
        <v>51226175.280000001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64">
        <f>IF($D$95=0,"",100*$D97/$D$95)</f>
        <v>1.0996696868521891</v>
      </c>
      <c r="K97" s="58">
        <f t="shared" si="12"/>
        <v>54.869141552746754</v>
      </c>
    </row>
    <row r="98" spans="2:11" ht="13.5" customHeight="1" x14ac:dyDescent="0.25">
      <c r="B98" s="100" t="s">
        <v>87</v>
      </c>
      <c r="C98" s="63">
        <f>142771482.62</f>
        <v>142771482.62</v>
      </c>
      <c r="D98" s="63">
        <f>101623344.45</f>
        <v>101623344.45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64">
        <f>IF($D$95=0,"",100*$D98/$D$95)</f>
        <v>2.1815431419068783</v>
      </c>
      <c r="K98" s="58">
        <f t="shared" si="12"/>
        <v>71.179021598087814</v>
      </c>
    </row>
    <row r="99" spans="2:11" ht="13.5" customHeight="1" x14ac:dyDescent="0.25">
      <c r="B99" s="100" t="s">
        <v>33</v>
      </c>
      <c r="C99" s="63">
        <f>731962553.44</f>
        <v>731962553.44000006</v>
      </c>
      <c r="D99" s="63">
        <f>1705426868.31</f>
        <v>1705426868.3099999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64">
        <f>IF($D$95=0,"",100*$D99/$D$95)</f>
        <v>36.610311427173315</v>
      </c>
      <c r="K99" s="58">
        <f t="shared" si="12"/>
        <v>232.99373175513085</v>
      </c>
    </row>
    <row r="100" spans="2:11" ht="7.5" customHeight="1" x14ac:dyDescent="0.25"/>
    <row r="101" spans="2:11" ht="13" x14ac:dyDescent="0.25">
      <c r="B101" s="40" t="s">
        <v>16</v>
      </c>
      <c r="C101" s="67" t="s">
        <v>17</v>
      </c>
      <c r="D101" s="19" t="s">
        <v>1</v>
      </c>
    </row>
    <row r="102" spans="2:11" ht="13" x14ac:dyDescent="0.25">
      <c r="B102" s="40"/>
      <c r="C102" s="111" t="s">
        <v>75</v>
      </c>
      <c r="D102" s="126"/>
    </row>
    <row r="103" spans="2:11" x14ac:dyDescent="0.25">
      <c r="B103" s="39">
        <v>1</v>
      </c>
      <c r="C103" s="42">
        <v>2</v>
      </c>
      <c r="D103" s="31">
        <v>3</v>
      </c>
    </row>
    <row r="104" spans="2:11" ht="37.5" customHeight="1" x14ac:dyDescent="0.25">
      <c r="B104" s="101" t="s">
        <v>105</v>
      </c>
      <c r="C104" s="47">
        <f>24593077724.93</f>
        <v>24593077724.93</v>
      </c>
      <c r="D104" s="27">
        <f>0</f>
        <v>0</v>
      </c>
    </row>
    <row r="105" spans="2:11" ht="36" customHeight="1" x14ac:dyDescent="0.25">
      <c r="B105" s="102" t="s">
        <v>78</v>
      </c>
      <c r="C105" s="48">
        <f>302031792.77</f>
        <v>302031792.76999998</v>
      </c>
      <c r="D105" s="74">
        <f>0</f>
        <v>0</v>
      </c>
    </row>
    <row r="106" spans="2:11" ht="13.5" customHeight="1" x14ac:dyDescent="0.25">
      <c r="B106" s="102" t="s">
        <v>79</v>
      </c>
      <c r="C106" s="48">
        <f>5923357718.11</f>
        <v>5923357718.1099997</v>
      </c>
      <c r="D106" s="74">
        <f>0</f>
        <v>0</v>
      </c>
    </row>
    <row r="107" spans="2:11" ht="25.5" customHeight="1" x14ac:dyDescent="0.25">
      <c r="B107" s="102" t="s">
        <v>80</v>
      </c>
      <c r="C107" s="48">
        <f>0</f>
        <v>0</v>
      </c>
      <c r="D107" s="74">
        <f>0</f>
        <v>0</v>
      </c>
    </row>
    <row r="108" spans="2:11" ht="58" customHeight="1" x14ac:dyDescent="0.25">
      <c r="B108" s="102" t="s">
        <v>98</v>
      </c>
      <c r="C108" s="48">
        <f>3056247542.87</f>
        <v>3056247542.8699999</v>
      </c>
      <c r="D108" s="74">
        <f>0</f>
        <v>0</v>
      </c>
    </row>
    <row r="109" spans="2:11" ht="82" customHeight="1" x14ac:dyDescent="0.25">
      <c r="B109" s="102" t="s">
        <v>81</v>
      </c>
      <c r="C109" s="48">
        <f>9073542607.19</f>
        <v>9073542607.1900005</v>
      </c>
      <c r="D109" s="74">
        <f>0</f>
        <v>0</v>
      </c>
    </row>
    <row r="110" spans="2:11" ht="151" customHeight="1" x14ac:dyDescent="0.25">
      <c r="B110" s="97" t="s">
        <v>103</v>
      </c>
      <c r="C110" s="48">
        <f>6200689230.79</f>
        <v>6200689230.79</v>
      </c>
      <c r="D110" s="74">
        <f>0</f>
        <v>0</v>
      </c>
    </row>
    <row r="111" spans="2:11" ht="20" x14ac:dyDescent="0.25">
      <c r="B111" s="97" t="s">
        <v>96</v>
      </c>
      <c r="C111" s="48">
        <f>37208833.2</f>
        <v>37208833.200000003</v>
      </c>
      <c r="D111" s="74">
        <f>0</f>
        <v>0</v>
      </c>
    </row>
    <row r="112" spans="2:11" ht="18" customHeight="1" x14ac:dyDescent="0.25"/>
    <row r="113" spans="2:4" ht="28.5" customHeight="1" x14ac:dyDescent="0.25"/>
    <row r="114" spans="2:4" x14ac:dyDescent="0.25">
      <c r="B114" s="65" t="s">
        <v>66</v>
      </c>
      <c r="C114" s="33">
        <f>3</f>
        <v>3</v>
      </c>
      <c r="D114" s="33" t="str">
        <f>IF(C114=1,"I Kwartał",IF(C114=2,"II Kwartały",IF(C114=3,"III Kwartały",IF(C114=4,"IV Kwartały",IF(C114="M1","Styczeń",IF(C114="M11","Listopad",IF(C114="M12","Grudzień","-")))))))</f>
        <v>III Kwartały</v>
      </c>
    </row>
    <row r="115" spans="2:4" x14ac:dyDescent="0.25">
      <c r="B115" s="65" t="s">
        <v>67</v>
      </c>
      <c r="C115" s="92">
        <f>2022</f>
        <v>2022</v>
      </c>
    </row>
    <row r="116" spans="2:4" x14ac:dyDescent="0.25">
      <c r="B116" s="65" t="s">
        <v>68</v>
      </c>
      <c r="C116" s="107" t="str">
        <f>"Nov 18 2022 12:00AM"</f>
        <v>Nov 18 2022 12:00AM</v>
      </c>
      <c r="D116" s="108"/>
    </row>
    <row r="117" spans="2:4" hidden="1" x14ac:dyDescent="0.25">
      <c r="B117" s="1" t="s">
        <v>111</v>
      </c>
      <c r="C117" s="1" t="str">
        <f>""</f>
        <v/>
      </c>
    </row>
  </sheetData>
  <mergeCells count="20">
    <mergeCell ref="B3:B4"/>
    <mergeCell ref="C102:D102"/>
    <mergeCell ref="B59:B62"/>
    <mergeCell ref="C84:D84"/>
    <mergeCell ref="J4:L4"/>
    <mergeCell ref="I59:I61"/>
    <mergeCell ref="J62:K62"/>
    <mergeCell ref="C4:I4"/>
    <mergeCell ref="J84:K84"/>
    <mergeCell ref="J59:J61"/>
    <mergeCell ref="K59:K61"/>
    <mergeCell ref="C116:D116"/>
    <mergeCell ref="D59:D61"/>
    <mergeCell ref="E59:E61"/>
    <mergeCell ref="F60:F61"/>
    <mergeCell ref="F59:H59"/>
    <mergeCell ref="G60:H60"/>
    <mergeCell ref="E83:I85"/>
    <mergeCell ref="C59:C61"/>
    <mergeCell ref="C62:I62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1" max="16383" man="1"/>
    <brk id="56" max="16383" man="1"/>
    <brk id="80" max="16383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2022-10-25T14:00:45Z</cp:lastPrinted>
  <dcterms:created xsi:type="dcterms:W3CDTF">2001-05-17T08:58:03Z</dcterms:created>
  <dcterms:modified xsi:type="dcterms:W3CDTF">2022-11-29T14:27:23Z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2022-06-01T15:11:49.7443772+02:00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GRN-a157e64f-b2d8-4344-b63a-be4ab8451fe4</vt:lpwstr>
  </property>
  <property fmtid="{D5CDD505-2E9C-101B-9397-08002B2CF9AE}" pid="7" name="MFHash">
    <vt:lpwstr>lKoZPOlwMDvHqF38lv0pfu8g3MmyOnNc8oYSPpdBgYA=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