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'doch_wyd'!$B$1:$L$100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4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<sst xmlns="http://schemas.openxmlformats.org/spreadsheetml/2006/main" count="119" uniqueCount="96">
  <si>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</si>
  <si>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</si>
  <si>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</si>
  <si>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</si>
  <si>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</si>
  <si>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</si>
  <si>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</si>
  <si>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</si>
  <si>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</si>
  <si>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</si>
  <si>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</si>
  <si>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</si>
  <si>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</si>
  <si>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</si>
  <si>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</si>
  <si>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</si>
  <si>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</si>
  <si>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</si>
  <si>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</si>
  <si>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dochodowy od osób fizycznych </t>
  </si>
  <si>
    <t>dochody z majątku</t>
  </si>
  <si>
    <t xml:space="preserve">pozostałe dochody </t>
  </si>
  <si>
    <t>Struktura</t>
  </si>
  <si>
    <t>Wskaźnik</t>
  </si>
  <si>
    <t>inne cele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</si>
  <si>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</si>
  <si>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</si>
  <si>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</si>
  <si>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</si>
  <si>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</si>
  <si>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</si>
  <si>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t>uzupełnienie subwencji ogólnej</t>
  </si>
  <si>
    <t>część równoważąca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</si>
  <si>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</si>
  <si>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</si>
  <si>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</si>
  <si>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</si>
  <si>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</si>
  <si>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</si>
  <si>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</si>
  <si>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</si>
  <si>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</si>
  <si>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</si>
  <si>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</si>
  <si>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Razem dochody własne 
z tego: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</si>
  <si>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</si>
  <si>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</si>
  <si>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</si>
  <si>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</si>
  <si>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</si>
  <si>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</si>
  <si>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</si>
  <si>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Dotacje ogółem                        z tego:</t>
  </si>
  <si>
    <t>świadczenia na rzecz osób fizycznych</t>
  </si>
  <si>
    <t>w tym: inwestycyjne § 620</t>
  </si>
  <si>
    <t>majątkowe</t>
  </si>
  <si>
    <t>bieżące</t>
  </si>
  <si>
    <t>UE</t>
  </si>
  <si>
    <t>wydatki majątkowe</t>
  </si>
  <si>
    <t>wydatki bieżące</t>
  </si>
  <si>
    <t>w złotych</t>
  </si>
  <si>
    <t>z tytułu pomocy finansowej udzielanej między jst na dofinansowanie własnych zadań</t>
  </si>
  <si>
    <t>wolne środki, o których mowa w art. 217 ust. 2 pkt 6 ustawy o finansach publicznych  w tym: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</si>
  <si>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</si>
  <si>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</si>
  <si>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</si>
  <si>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</si>
  <si>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</si>
  <si>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</si>
  <si>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</si>
  <si>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Łączna kwota wyłączeń z relacji, o której mowa w art. 243 ust. 1 ustawy o finansach publicznych w okresie sprawozdawczym   w tym:</t>
  </si>
  <si>
    <t>kwota wyłączeń, o których mowa w art. 243 ust. 3 ustawy o finansach publicznych</t>
  </si>
  <si>
    <t>kwota wyłączeń, o których mowa w art. 243 ust. 3a ustawy o finansach publicznych</t>
  </si>
  <si>
    <t>wykup papierów wartościowych, spłata kredytów i pożyczek zaciągniętych na spłatę przejętych zobowiązań samodzielnego publicznego zakładu opieki zdrowotnej</t>
  </si>
  <si>
    <t>wykup obligacji nominowanych w walutach obcych wyemitowanych na zagraniczne rynki przed 1 stycznia 2010 r.</t>
  </si>
  <si>
    <t>Zobowiązania związku współtworzonego przez jednostkę samorządu terytorialnego przypadające do spłaty w roku budżetowym</t>
  </si>
  <si>
    <t>Kwota związana z realizacją wydatków bieżących, o których mowa w art. 242 ustawy o finansach publicznych</t>
  </si>
  <si>
    <t>w tym: inwestycyjne § 625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</si>
  <si>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</si>
  <si>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Dotacje §§ 200 i 620</t>
  </si>
  <si>
    <t>Dotacje §§ 205 i 625</t>
  </si>
  <si>
    <t>Dochody bieżące                minus                                       wydatki bieżące</t>
  </si>
  <si>
    <t>Wydatki ogółem UE                      z tego:</t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</si>
  <si>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</si>
  <si>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</si>
  <si>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</si>
  <si>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</si>
  <si>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</si>
  <si>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wykup papierów wartościowych</t>
  </si>
  <si>
    <t xml:space="preserve"> udzielone pożyczki</t>
  </si>
  <si>
    <t>spłaty kredytów i  pożyczek, wykup papierów wartościowych w tym:</t>
  </si>
  <si>
    <t>Kwota planowanych wydatków bieżących ponoszonych na spłatę przejętych zobowiązań samodzielnego publicznego zakładu opieki zdrowotnej przekształconego na zasadach określonych w ustawie o działalności leczniczej</t>
  </si>
  <si>
    <t>Kwota wykonanych wydatków bieżących ponoszonych na spłatę przejętych zobowiązań samodzielnego publicznego zakładu opieki zdrowotnej przekształconego na zasadach określonych w ustawie o działalności leczniczej</t>
  </si>
  <si>
    <t>Stan na koniec okresu sprawozdawczego</t>
  </si>
  <si>
    <t>wydatki na wynagrodzenia i pochodne od wynagrodzeń</t>
  </si>
  <si>
    <t xml:space="preserve">Informacja z wykonania budżetów powiatów za II Kwartały 2020 rok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</si>
</sst>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dd/mm/yy\ 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 CE"/>
      <family val="0"/>
    </font>
    <font>
      <vertAlign val="subscript"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22" borderId="0" applyNumberFormat="0" applyBorder="0" applyAlignment="0" applyProtection="0"/>
    <xf numFmtId="0" fontId="16" fillId="6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2" borderId="0" applyNumberFormat="0" applyBorder="0" applyAlignment="0" applyProtection="0"/>
    <xf numFmtId="0" fontId="16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40" borderId="1" applyNumberFormat="0" applyAlignment="0" applyProtection="0"/>
    <xf numFmtId="0" fontId="19" fillId="41" borderId="2" applyNumberFormat="0" applyAlignment="0" applyProtection="0"/>
    <xf numFmtId="0" fontId="45" fillId="42" borderId="3" applyNumberFormat="0" applyAlignment="0" applyProtection="0"/>
    <xf numFmtId="0" fontId="46" fillId="43" borderId="4" applyNumberFormat="0" applyAlignment="0" applyProtection="0"/>
    <xf numFmtId="0" fontId="47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5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6" borderId="1" applyNumberFormat="0" applyAlignment="0" applyProtection="0"/>
    <xf numFmtId="0" fontId="48" fillId="0" borderId="8" applyNumberFormat="0" applyFill="0" applyAlignment="0" applyProtection="0"/>
    <xf numFmtId="0" fontId="49" fillId="46" borderId="9" applyNumberFormat="0" applyAlignment="0" applyProtection="0"/>
    <xf numFmtId="0" fontId="26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53" fillId="47" borderId="0" applyNumberFormat="0" applyBorder="0" applyAlignment="0" applyProtection="0"/>
    <xf numFmtId="0" fontId="43" fillId="0" borderId="0">
      <alignment/>
      <protection/>
    </xf>
    <xf numFmtId="0" fontId="0" fillId="4" borderId="14" applyNumberFormat="0" applyFont="0" applyAlignment="0" applyProtection="0"/>
    <xf numFmtId="0" fontId="54" fillId="43" borderId="3" applyNumberFormat="0" applyAlignment="0" applyProtection="0"/>
    <xf numFmtId="0" fontId="2" fillId="0" borderId="0" applyNumberFormat="0" applyFill="0" applyBorder="0" applyAlignment="0" applyProtection="0"/>
    <xf numFmtId="0" fontId="28" fillId="40" borderId="15" applyNumberFormat="0" applyAlignment="0" applyProtection="0"/>
    <xf numFmtId="9" fontId="0" fillId="0" borderId="0" applyFont="0" applyFill="0" applyBorder="0" applyAlignment="0" applyProtection="0"/>
    <xf numFmtId="0" fontId="55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9" fillId="49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 indent="1"/>
    </xf>
    <xf numFmtId="164" fontId="7" fillId="0" borderId="0" xfId="0" applyNumberFormat="1" applyFont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1"/>
    </xf>
    <xf numFmtId="0" fontId="7" fillId="0" borderId="0" xfId="0" applyFont="1" applyAlignment="1">
      <alignment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13" fillId="40" borderId="19" xfId="0" applyFont="1" applyFill="1" applyBorder="1" applyAlignment="1">
      <alignment horizontal="left" vertical="center" wrapText="1"/>
    </xf>
    <xf numFmtId="4" fontId="33" fillId="40" borderId="19" xfId="0" applyNumberFormat="1" applyFont="1" applyFill="1" applyBorder="1" applyAlignment="1">
      <alignment horizontal="right" vertical="center"/>
    </xf>
    <xf numFmtId="164" fontId="33" fillId="40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Fill="1" applyBorder="1" applyAlignment="1">
      <alignment horizontal="right" vertical="center"/>
    </xf>
    <xf numFmtId="164" fontId="34" fillId="0" borderId="19" xfId="0" applyNumberFormat="1" applyFont="1" applyFill="1" applyBorder="1" applyAlignment="1">
      <alignment horizontal="right" vertical="center"/>
    </xf>
    <xf numFmtId="164" fontId="34" fillId="40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Border="1" applyAlignment="1">
      <alignment horizontal="right" vertical="center"/>
    </xf>
    <xf numFmtId="164" fontId="35" fillId="0" borderId="0" xfId="0" applyNumberFormat="1" applyFont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22" xfId="0" applyFont="1" applyBorder="1" applyAlignment="1">
      <alignment horizontal="center" vertical="center"/>
    </xf>
    <xf numFmtId="4" fontId="33" fillId="40" borderId="19" xfId="0" applyNumberFormat="1" applyFont="1" applyFill="1" applyBorder="1" applyAlignment="1">
      <alignment horizontal="right" vertical="center" wrapText="1"/>
    </xf>
    <xf numFmtId="164" fontId="36" fillId="40" borderId="19" xfId="0" applyNumberFormat="1" applyFont="1" applyFill="1" applyBorder="1" applyAlignment="1">
      <alignment horizontal="right" vertical="center"/>
    </xf>
    <xf numFmtId="164" fontId="35" fillId="0" borderId="19" xfId="0" applyNumberFormat="1" applyFont="1" applyBorder="1" applyAlignment="1">
      <alignment horizontal="right" vertical="center"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3" fontId="33" fillId="0" borderId="0" xfId="0" applyNumberFormat="1" applyFont="1" applyBorder="1" applyAlignment="1">
      <alignment horizontal="right" vertical="center"/>
    </xf>
    <xf numFmtId="164" fontId="35" fillId="0" borderId="0" xfId="0" applyNumberFormat="1" applyFont="1" applyAlignment="1">
      <alignment/>
    </xf>
    <xf numFmtId="4" fontId="36" fillId="40" borderId="20" xfId="0" applyNumberFormat="1" applyFont="1" applyFill="1" applyBorder="1" applyAlignment="1">
      <alignment horizontal="right" vertical="center"/>
    </xf>
    <xf numFmtId="4" fontId="36" fillId="40" borderId="21" xfId="0" applyNumberFormat="1" applyFont="1" applyFill="1" applyBorder="1" applyAlignment="1">
      <alignment horizontal="right" vertical="center"/>
    </xf>
    <xf numFmtId="164" fontId="36" fillId="40" borderId="19" xfId="71" applyNumberFormat="1" applyFont="1" applyFill="1" applyBorder="1" applyAlignment="1">
      <alignment horizontal="right" vertical="center"/>
    </xf>
    <xf numFmtId="4" fontId="35" fillId="0" borderId="20" xfId="0" applyNumberFormat="1" applyFont="1" applyBorder="1" applyAlignment="1">
      <alignment horizontal="right" vertical="center"/>
    </xf>
    <xf numFmtId="4" fontId="35" fillId="0" borderId="21" xfId="0" applyNumberFormat="1" applyFont="1" applyBorder="1" applyAlignment="1">
      <alignment horizontal="right" vertical="center"/>
    </xf>
    <xf numFmtId="164" fontId="36" fillId="50" borderId="19" xfId="71" applyNumberFormat="1" applyFont="1" applyFill="1" applyBorder="1" applyAlignment="1">
      <alignment horizontal="right" vertical="center"/>
    </xf>
    <xf numFmtId="164" fontId="36" fillId="50" borderId="19" xfId="0" applyNumberFormat="1" applyFont="1" applyFill="1" applyBorder="1" applyAlignment="1">
      <alignment horizontal="right" vertical="center"/>
    </xf>
    <xf numFmtId="4" fontId="35" fillId="51" borderId="20" xfId="0" applyNumberFormat="1" applyFont="1" applyFill="1" applyBorder="1" applyAlignment="1">
      <alignment horizontal="right" vertical="center"/>
    </xf>
    <xf numFmtId="4" fontId="35" fillId="51" borderId="21" xfId="0" applyNumberFormat="1" applyFont="1" applyFill="1" applyBorder="1" applyAlignment="1">
      <alignment horizontal="right" vertical="center"/>
    </xf>
    <xf numFmtId="164" fontId="36" fillId="51" borderId="19" xfId="0" applyNumberFormat="1" applyFont="1" applyFill="1" applyBorder="1" applyAlignment="1">
      <alignment horizontal="right" vertical="center"/>
    </xf>
    <xf numFmtId="4" fontId="35" fillId="50" borderId="20" xfId="0" applyNumberFormat="1" applyFont="1" applyFill="1" applyBorder="1" applyAlignment="1">
      <alignment horizontal="right" vertical="center"/>
    </xf>
    <xf numFmtId="4" fontId="35" fillId="50" borderId="21" xfId="0" applyNumberFormat="1" applyFont="1" applyFill="1" applyBorder="1" applyAlignment="1">
      <alignment horizontal="right" vertical="center"/>
    </xf>
    <xf numFmtId="4" fontId="36" fillId="51" borderId="20" xfId="0" applyNumberFormat="1" applyFont="1" applyFill="1" applyBorder="1" applyAlignment="1">
      <alignment horizontal="right" vertical="center"/>
    </xf>
    <xf numFmtId="4" fontId="36" fillId="51" borderId="21" xfId="0" applyNumberFormat="1" applyFont="1" applyFill="1" applyBorder="1" applyAlignment="1">
      <alignment horizontal="right" vertical="center"/>
    </xf>
    <xf numFmtId="0" fontId="12" fillId="2" borderId="19" xfId="0" applyFont="1" applyFill="1" applyBorder="1" applyAlignment="1">
      <alignment horizontal="center" vertical="center" wrapText="1"/>
    </xf>
    <xf numFmtId="0" fontId="13" fillId="40" borderId="1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 indent="1"/>
    </xf>
    <xf numFmtId="0" fontId="5" fillId="0" borderId="19" xfId="0" applyFont="1" applyBorder="1" applyAlignment="1">
      <alignment horizontal="left" vertical="top" wrapText="1" indent="2"/>
    </xf>
    <xf numFmtId="0" fontId="60" fillId="0" borderId="19" xfId="89" applyFont="1" applyBorder="1" applyAlignment="1">
      <alignment horizontal="left" vertical="top" wrapText="1"/>
      <protection/>
    </xf>
    <xf numFmtId="0" fontId="60" fillId="51" borderId="19" xfId="89" applyFont="1" applyFill="1" applyBorder="1" applyAlignment="1">
      <alignment horizontal="left" vertical="top" wrapText="1"/>
      <protection/>
    </xf>
    <xf numFmtId="0" fontId="12" fillId="40" borderId="19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52" borderId="19" xfId="0" applyFont="1" applyFill="1" applyBorder="1" applyAlignment="1">
      <alignment horizontal="left" vertical="top" wrapText="1"/>
    </xf>
    <xf numFmtId="0" fontId="13" fillId="51" borderId="19" xfId="0" applyFont="1" applyFill="1" applyBorder="1" applyAlignment="1">
      <alignment horizontal="left" vertical="top" wrapText="1"/>
    </xf>
    <xf numFmtId="4" fontId="33" fillId="51" borderId="19" xfId="0" applyNumberFormat="1" applyFont="1" applyFill="1" applyBorder="1" applyAlignment="1">
      <alignment horizontal="right" vertical="center"/>
    </xf>
    <xf numFmtId="164" fontId="33" fillId="51" borderId="19" xfId="0" applyNumberFormat="1" applyFont="1" applyFill="1" applyBorder="1" applyAlignment="1">
      <alignment horizontal="right" vertical="center"/>
    </xf>
    <xf numFmtId="4" fontId="35" fillId="0" borderId="19" xfId="0" applyNumberFormat="1" applyFont="1" applyFill="1" applyBorder="1" applyAlignment="1">
      <alignment horizontal="right" vertical="center"/>
    </xf>
    <xf numFmtId="164" fontId="34" fillId="0" borderId="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top" wrapText="1" indent="2"/>
    </xf>
    <xf numFmtId="4" fontId="34" fillId="51" borderId="19" xfId="0" applyNumberFormat="1" applyFont="1" applyFill="1" applyBorder="1" applyAlignment="1">
      <alignment horizontal="right" vertical="center"/>
    </xf>
    <xf numFmtId="164" fontId="34" fillId="51" borderId="19" xfId="0" applyNumberFormat="1" applyFont="1" applyFill="1" applyBorder="1" applyAlignment="1">
      <alignment horizontal="right" vertical="center"/>
    </xf>
    <xf numFmtId="0" fontId="13" fillId="51" borderId="19" xfId="0" applyFont="1" applyFill="1" applyBorder="1" applyAlignment="1">
      <alignment horizontal="left" vertical="top" wrapText="1" indent="1"/>
    </xf>
    <xf numFmtId="0" fontId="13" fillId="51" borderId="19" xfId="0" applyFont="1" applyFill="1" applyBorder="1" applyAlignment="1">
      <alignment horizontal="left" vertical="center" wrapText="1"/>
    </xf>
    <xf numFmtId="4" fontId="36" fillId="51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Fill="1" applyBorder="1" applyAlignment="1">
      <alignment horizontal="right" vertical="center" wrapText="1"/>
    </xf>
    <xf numFmtId="164" fontId="35" fillId="0" borderId="19" xfId="0" applyNumberFormat="1" applyFont="1" applyFill="1" applyBorder="1" applyAlignment="1">
      <alignment horizontal="right" vertical="center"/>
    </xf>
    <xf numFmtId="4" fontId="34" fillId="51" borderId="19" xfId="0" applyNumberFormat="1" applyFont="1" applyFill="1" applyBorder="1" applyAlignment="1">
      <alignment horizontal="right" vertical="center" wrapText="1"/>
    </xf>
    <xf numFmtId="164" fontId="35" fillId="51" borderId="19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/>
    </xf>
    <xf numFmtId="0" fontId="13" fillId="51" borderId="23" xfId="0" applyFont="1" applyFill="1" applyBorder="1" applyAlignment="1">
      <alignment horizontal="left" vertical="top" wrapText="1"/>
    </xf>
    <xf numFmtId="4" fontId="33" fillId="51" borderId="19" xfId="0" applyNumberFormat="1" applyFont="1" applyFill="1" applyBorder="1" applyAlignment="1">
      <alignment horizontal="right" vertical="center" wrapText="1"/>
    </xf>
    <xf numFmtId="0" fontId="12" fillId="51" borderId="24" xfId="0" applyFont="1" applyFill="1" applyBorder="1" applyAlignment="1">
      <alignment horizontal="center" vertical="top" wrapText="1"/>
    </xf>
    <xf numFmtId="4" fontId="33" fillId="40" borderId="24" xfId="0" applyNumberFormat="1" applyFont="1" applyFill="1" applyBorder="1" applyAlignment="1">
      <alignment horizontal="right" vertical="center" wrapText="1"/>
    </xf>
    <xf numFmtId="0" fontId="33" fillId="0" borderId="24" xfId="0" applyFont="1" applyBorder="1" applyAlignment="1">
      <alignment horizontal="left" vertical="center"/>
    </xf>
    <xf numFmtId="4" fontId="35" fillId="51" borderId="25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top" wrapText="1" indent="1"/>
    </xf>
    <xf numFmtId="4" fontId="35" fillId="0" borderId="20" xfId="0" applyNumberFormat="1" applyFont="1" applyFill="1" applyBorder="1" applyAlignment="1">
      <alignment horizontal="right" vertical="center"/>
    </xf>
    <xf numFmtId="4" fontId="35" fillId="0" borderId="21" xfId="0" applyNumberFormat="1" applyFont="1" applyFill="1" applyBorder="1" applyAlignment="1">
      <alignment horizontal="right" vertical="center"/>
    </xf>
    <xf numFmtId="164" fontId="36" fillId="0" borderId="19" xfId="71" applyNumberFormat="1" applyFont="1" applyFill="1" applyBorder="1" applyAlignment="1">
      <alignment horizontal="right" vertical="center"/>
    </xf>
    <xf numFmtId="164" fontId="36" fillId="0" borderId="19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top" wrapText="1"/>
    </xf>
    <xf numFmtId="0" fontId="7" fillId="0" borderId="19" xfId="89" applyFont="1" applyFill="1" applyBorder="1" applyAlignment="1">
      <alignment horizontal="left" vertical="top" wrapText="1"/>
      <protection/>
    </xf>
    <xf numFmtId="0" fontId="60" fillId="0" borderId="19" xfId="89" applyFont="1" applyFill="1" applyBorder="1" applyAlignment="1">
      <alignment horizontal="left" vertical="top" wrapText="1"/>
      <protection/>
    </xf>
    <xf numFmtId="4" fontId="38" fillId="51" borderId="20" xfId="0" applyNumberFormat="1" applyFont="1" applyFill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4" fontId="34" fillId="0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Fill="1" applyBorder="1" applyAlignment="1">
      <alignment horizontal="right" vertical="center" wrapText="1"/>
    </xf>
    <xf numFmtId="4" fontId="34" fillId="0" borderId="20" xfId="0" applyNumberFormat="1" applyFont="1" applyBorder="1" applyAlignment="1">
      <alignment horizontal="right" vertical="center" wrapText="1"/>
    </xf>
    <xf numFmtId="0" fontId="37" fillId="0" borderId="21" xfId="0" applyFont="1" applyBorder="1" applyAlignment="1">
      <alignment horizontal="right" vertical="center" wrapText="1"/>
    </xf>
    <xf numFmtId="4" fontId="33" fillId="51" borderId="19" xfId="0" applyNumberFormat="1" applyFont="1" applyFill="1" applyBorder="1" applyAlignment="1">
      <alignment horizontal="right" vertical="center" wrapText="1"/>
    </xf>
    <xf numFmtId="4" fontId="34" fillId="0" borderId="20" xfId="0" applyNumberFormat="1" applyFont="1" applyFill="1" applyBorder="1" applyAlignment="1">
      <alignment horizontal="right" vertical="center" wrapText="1"/>
    </xf>
    <xf numFmtId="0" fontId="37" fillId="0" borderId="21" xfId="0" applyFont="1" applyFill="1" applyBorder="1" applyAlignment="1">
      <alignment horizontal="right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4" fontId="34" fillId="0" borderId="19" xfId="0" applyNumberFormat="1" applyFont="1" applyBorder="1" applyAlignment="1">
      <alignment horizontal="right" vertical="center"/>
    </xf>
    <xf numFmtId="4" fontId="34" fillId="29" borderId="19" xfId="0" applyNumberFormat="1" applyFont="1" applyFill="1" applyBorder="1" applyAlignment="1">
      <alignment horizontal="right" vertical="center"/>
    </xf>
    <xf numFmtId="4" fontId="36" fillId="51" borderId="19" xfId="0" applyNumberFormat="1" applyFont="1" applyFill="1" applyBorder="1" applyAlignment="1">
      <alignment horizontal="right" vertical="center"/>
    </xf>
    <xf numFmtId="4" fontId="33" fillId="29" borderId="19" xfId="0" applyNumberFormat="1" applyFont="1" applyFill="1" applyBorder="1" applyAlignment="1">
      <alignment horizontal="right" vertical="center" wrapText="1"/>
    </xf>
    <xf numFmtId="0" fontId="7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32" fillId="0" borderId="0" xfId="0" applyFont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99"/>
  <sheetViews>
    <sheetView tabSelected="1" workbookViewId="0" topLeftCell="B1">
      <selection activeCell="B5" sqref="B5"/>
    </sheetView>
  </sheetViews>
  <sheetFormatPr defaultColWidth="9.00390625" defaultRowHeight="12.75"/>
  <cols>
    <col min="1" max="1" width="5.75390625" style="1" hidden="1" customWidth="1"/>
    <col min="2" max="2" width="24.25390625" style="1" customWidth="1"/>
    <col min="3" max="5" width="14.625" style="1" customWidth="1"/>
    <col min="6" max="6" width="13.875" style="1" customWidth="1"/>
    <col min="7" max="10" width="13.00390625" style="1" customWidth="1"/>
    <col min="11" max="11" width="7.375" style="1" customWidth="1"/>
    <col min="12" max="12" width="6.625" style="1" customWidth="1"/>
    <col min="13" max="13" width="8.125" style="1" hidden="1" customWidth="1"/>
    <col min="14" max="16384" width="9.125" style="1" customWidth="1"/>
  </cols>
  <sheetData>
    <row r="1" spans="2:13" ht="21" customHeight="1">
      <c r="B1" s="126" t="s">
        <v>95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2:8" ht="57.75" customHeight="1">
      <c r="B2" s="128" t="s">
        <v>0</v>
      </c>
      <c r="C2" s="14" t="s">
        <v>28</v>
      </c>
      <c r="D2" s="14" t="s">
        <v>29</v>
      </c>
      <c r="E2" s="14" t="s">
        <v>30</v>
      </c>
      <c r="F2" s="16" t="s">
        <v>2</v>
      </c>
      <c r="G2" s="14" t="s">
        <v>18</v>
      </c>
      <c r="H2" s="14" t="s">
        <v>3</v>
      </c>
    </row>
    <row r="3" spans="2:8" ht="12.75">
      <c r="B3" s="128"/>
      <c r="C3" s="129" t="s">
        <v>60</v>
      </c>
      <c r="D3" s="129"/>
      <c r="E3" s="129"/>
      <c r="F3" s="129" t="s">
        <v>4</v>
      </c>
      <c r="G3" s="129"/>
      <c r="H3" s="129"/>
    </row>
    <row r="4" spans="2:8" ht="9" customHeight="1">
      <c r="B4" s="16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</row>
    <row r="5" spans="2:8" ht="12.75">
      <c r="B5" s="69" t="s">
        <v>5</v>
      </c>
      <c r="C5" s="70">
        <f>32328965642.91</f>
        <v>32328965642.91</v>
      </c>
      <c r="D5" s="70">
        <f>16237959821.24</f>
        <v>16237959821.24</v>
      </c>
      <c r="E5" s="70">
        <f>15009299997.28</f>
        <v>15009299997.28</v>
      </c>
      <c r="F5" s="71">
        <f aca="true" t="shared" si="0" ref="F5:F33">IF($D$5=0,"",100*$D5/$D$5)</f>
        <v>100</v>
      </c>
      <c r="G5" s="71">
        <f aca="true" t="shared" si="1" ref="G5:G36">IF(C5=0,"",100*D5/C5)</f>
        <v>50.227279154540824</v>
      </c>
      <c r="H5" s="71"/>
    </row>
    <row r="6" spans="2:8" ht="25.5" customHeight="1">
      <c r="B6" s="61" t="s">
        <v>44</v>
      </c>
      <c r="C6" s="30">
        <f>C5-C11-C29</f>
        <v>12100862664.169998</v>
      </c>
      <c r="D6" s="30">
        <f>D5-D11-D29</f>
        <v>5325791397.209999</v>
      </c>
      <c r="E6" s="30">
        <f>E5-E11-E29</f>
        <v>4933785669.630001</v>
      </c>
      <c r="F6" s="31">
        <f t="shared" si="0"/>
        <v>32.798402359904955</v>
      </c>
      <c r="G6" s="31">
        <f t="shared" si="1"/>
        <v>44.01166714319781</v>
      </c>
      <c r="H6" s="31">
        <f>IF($D$6=0,"",100*$D6/$D$6)</f>
        <v>100</v>
      </c>
    </row>
    <row r="7" spans="2:8" ht="22.5" customHeight="1">
      <c r="B7" s="62" t="s">
        <v>19</v>
      </c>
      <c r="C7" s="32">
        <f>6228335176.17</f>
        <v>6228335176.17</v>
      </c>
      <c r="D7" s="32">
        <f>2718444191</f>
        <v>2718444191</v>
      </c>
      <c r="E7" s="32">
        <f>2357978761</f>
        <v>2357978761</v>
      </c>
      <c r="F7" s="33">
        <f t="shared" si="0"/>
        <v>16.741291522621886</v>
      </c>
      <c r="G7" s="33">
        <f t="shared" si="1"/>
        <v>43.6464017126268</v>
      </c>
      <c r="H7" s="33">
        <f>IF($D$6=0,"",100*$D7/$D$6)</f>
        <v>51.043009165250076</v>
      </c>
    </row>
    <row r="8" spans="2:8" ht="22.5" customHeight="1">
      <c r="B8" s="62" t="s">
        <v>26</v>
      </c>
      <c r="C8" s="32">
        <f>184622305.06</f>
        <v>184622305.06</v>
      </c>
      <c r="D8" s="32">
        <f>122385293.85</f>
        <v>122385293.85</v>
      </c>
      <c r="E8" s="32">
        <f>127072257.68</f>
        <v>127072257.68</v>
      </c>
      <c r="F8" s="33">
        <f t="shared" si="0"/>
        <v>0.7536987109052604</v>
      </c>
      <c r="G8" s="33">
        <f t="shared" si="1"/>
        <v>66.28954925583139</v>
      </c>
      <c r="H8" s="33">
        <f>IF($D$6=0,"",100*$D8/$D$6)</f>
        <v>2.2979738544418673</v>
      </c>
    </row>
    <row r="9" spans="2:8" ht="13.5" customHeight="1">
      <c r="B9" s="62" t="s">
        <v>20</v>
      </c>
      <c r="C9" s="32">
        <f>358703984.42</f>
        <v>358703984.42</v>
      </c>
      <c r="D9" s="72">
        <f>136606688.81</f>
        <v>136606688.81</v>
      </c>
      <c r="E9" s="32">
        <f>136450645.83</f>
        <v>136450645.83</v>
      </c>
      <c r="F9" s="33">
        <f t="shared" si="0"/>
        <v>0.8412798794545122</v>
      </c>
      <c r="G9" s="33">
        <f t="shared" si="1"/>
        <v>38.083404351051115</v>
      </c>
      <c r="H9" s="33">
        <f>IF($D$6=0,"",100*$D9/$D$6)</f>
        <v>2.5650026187950883</v>
      </c>
    </row>
    <row r="10" spans="2:8" ht="13.5" customHeight="1">
      <c r="B10" s="62" t="s">
        <v>21</v>
      </c>
      <c r="C10" s="32">
        <f>C6-C8-C7-C9</f>
        <v>5329201198.519999</v>
      </c>
      <c r="D10" s="32">
        <f>D6-D8-D7-D9</f>
        <v>2348355223.5499988</v>
      </c>
      <c r="E10" s="32">
        <f>E6-E8-E7-E9</f>
        <v>2312284005.120001</v>
      </c>
      <c r="F10" s="33">
        <f t="shared" si="0"/>
        <v>14.462132246923298</v>
      </c>
      <c r="G10" s="33">
        <f t="shared" si="1"/>
        <v>44.06580153517516</v>
      </c>
      <c r="H10" s="33">
        <f>IF($D$6=0,"",100*$D10/$D$6)</f>
        <v>44.09401436151296</v>
      </c>
    </row>
    <row r="11" spans="2:8" ht="26.25" customHeight="1">
      <c r="B11" s="69" t="s">
        <v>52</v>
      </c>
      <c r="C11" s="70">
        <f>C12+C25+C27</f>
        <v>6953242417.74</v>
      </c>
      <c r="D11" s="70">
        <f>D12+D25+D27</f>
        <v>3113676592.03</v>
      </c>
      <c r="E11" s="70">
        <f>E12+E25+E27</f>
        <v>3017204931.6499996</v>
      </c>
      <c r="F11" s="71">
        <f t="shared" si="0"/>
        <v>19.17529434921478</v>
      </c>
      <c r="G11" s="71">
        <f t="shared" si="1"/>
        <v>44.78021051137223</v>
      </c>
      <c r="H11" s="73"/>
    </row>
    <row r="12" spans="2:8" ht="25.5" customHeight="1">
      <c r="B12" s="69" t="s">
        <v>45</v>
      </c>
      <c r="C12" s="70">
        <f>C13+C15+C17+C19+C21+C23</f>
        <v>5069641559.91</v>
      </c>
      <c r="D12" s="70">
        <f>D13+D15+D17+D19+D21+D23</f>
        <v>2457094651.09</v>
      </c>
      <c r="E12" s="70">
        <f>E13+E15+E17+E19+E21+E23</f>
        <v>2380650065.08</v>
      </c>
      <c r="F12" s="71">
        <f t="shared" si="0"/>
        <v>15.131794130171494</v>
      </c>
      <c r="G12" s="71">
        <f t="shared" si="1"/>
        <v>48.466831866780346</v>
      </c>
      <c r="H12" s="36"/>
    </row>
    <row r="13" spans="2:8" ht="22.5" customHeight="1">
      <c r="B13" s="62" t="s">
        <v>9</v>
      </c>
      <c r="C13" s="32">
        <f>3019928063.5</f>
        <v>3019928063.5</v>
      </c>
      <c r="D13" s="32">
        <f>1712055219.17</f>
        <v>1712055219.17</v>
      </c>
      <c r="E13" s="32">
        <f>1638559548.07</f>
        <v>1638559548.07</v>
      </c>
      <c r="F13" s="33">
        <f t="shared" si="0"/>
        <v>10.543536491145598</v>
      </c>
      <c r="G13" s="33">
        <f t="shared" si="1"/>
        <v>56.691920574617356</v>
      </c>
      <c r="H13" s="36"/>
    </row>
    <row r="14" spans="2:8" ht="12.75">
      <c r="B14" s="74" t="s">
        <v>6</v>
      </c>
      <c r="C14" s="32">
        <f>70963278.68</f>
        <v>70963278.68</v>
      </c>
      <c r="D14" s="32">
        <f>40738902.56</f>
        <v>40738902.56</v>
      </c>
      <c r="E14" s="32">
        <f>40738902.56</f>
        <v>40738902.56</v>
      </c>
      <c r="F14" s="33">
        <f t="shared" si="0"/>
        <v>0.25088682943230123</v>
      </c>
      <c r="G14" s="33">
        <f t="shared" si="1"/>
        <v>57.40842773585331</v>
      </c>
      <c r="H14" s="36"/>
    </row>
    <row r="15" spans="2:8" ht="13.5" customHeight="1">
      <c r="B15" s="62" t="s">
        <v>7</v>
      </c>
      <c r="C15" s="32">
        <f>831676247.94</f>
        <v>831676247.94</v>
      </c>
      <c r="D15" s="32">
        <f>369525218.6</f>
        <v>369525218.6</v>
      </c>
      <c r="E15" s="32">
        <f>367341277.37</f>
        <v>367341277.37</v>
      </c>
      <c r="F15" s="33">
        <f t="shared" si="0"/>
        <v>2.275687479634258</v>
      </c>
      <c r="G15" s="33">
        <f t="shared" si="1"/>
        <v>44.4313781372603</v>
      </c>
      <c r="H15" s="36"/>
    </row>
    <row r="16" spans="2:8" ht="12.75">
      <c r="B16" s="74" t="s">
        <v>6</v>
      </c>
      <c r="C16" s="32">
        <f>126524049.58</f>
        <v>126524049.58</v>
      </c>
      <c r="D16" s="32">
        <f>13340106.57</f>
        <v>13340106.57</v>
      </c>
      <c r="E16" s="32">
        <f>11335028.68</f>
        <v>11335028.68</v>
      </c>
      <c r="F16" s="33">
        <f t="shared" si="0"/>
        <v>0.08215383408296482</v>
      </c>
      <c r="G16" s="33">
        <f t="shared" si="1"/>
        <v>10.543534303780858</v>
      </c>
      <c r="H16" s="36"/>
    </row>
    <row r="17" spans="2:8" ht="33" customHeight="1">
      <c r="B17" s="62" t="s">
        <v>10</v>
      </c>
      <c r="C17" s="32">
        <f>60179207.12</f>
        <v>60179207.12</v>
      </c>
      <c r="D17" s="32">
        <f>46378464.09</f>
        <v>46378464.09</v>
      </c>
      <c r="E17" s="32">
        <f>46321843.74</f>
        <v>46321843.74</v>
      </c>
      <c r="F17" s="33">
        <f t="shared" si="0"/>
        <v>0.2856175566423981</v>
      </c>
      <c r="G17" s="33">
        <f t="shared" si="1"/>
        <v>77.06725679771635</v>
      </c>
      <c r="H17" s="36"/>
    </row>
    <row r="18" spans="2:8" ht="12.75">
      <c r="B18" s="74" t="s">
        <v>6</v>
      </c>
      <c r="C18" s="32">
        <f>3745500</f>
        <v>3745500</v>
      </c>
      <c r="D18" s="32">
        <f>0</f>
        <v>0</v>
      </c>
      <c r="E18" s="32">
        <f>0</f>
        <v>0</v>
      </c>
      <c r="F18" s="33">
        <f t="shared" si="0"/>
        <v>0</v>
      </c>
      <c r="G18" s="33">
        <f t="shared" si="1"/>
        <v>0</v>
      </c>
      <c r="H18" s="36"/>
    </row>
    <row r="19" spans="2:8" ht="25.5" customHeight="1">
      <c r="B19" s="62" t="s">
        <v>11</v>
      </c>
      <c r="C19" s="32">
        <f>407823470.15</f>
        <v>407823470.15</v>
      </c>
      <c r="D19" s="32">
        <f>174426825.91</f>
        <v>174426825.91</v>
      </c>
      <c r="E19" s="32">
        <f>174190747.34</f>
        <v>174190747.34</v>
      </c>
      <c r="F19" s="33">
        <f t="shared" si="0"/>
        <v>1.0741917570324424</v>
      </c>
      <c r="G19" s="33">
        <f t="shared" si="1"/>
        <v>42.77017844162935</v>
      </c>
      <c r="H19" s="36"/>
    </row>
    <row r="20" spans="2:8" ht="12.75">
      <c r="B20" s="74" t="s">
        <v>6</v>
      </c>
      <c r="C20" s="32">
        <f>78488536.3</f>
        <v>78488536.3</v>
      </c>
      <c r="D20" s="32">
        <f>12871414.46</f>
        <v>12871414.46</v>
      </c>
      <c r="E20" s="32">
        <f>12871414.46</f>
        <v>12871414.46</v>
      </c>
      <c r="F20" s="33">
        <f t="shared" si="0"/>
        <v>0.07926743631403495</v>
      </c>
      <c r="G20" s="33">
        <f t="shared" si="1"/>
        <v>16.399101151284942</v>
      </c>
      <c r="H20" s="36"/>
    </row>
    <row r="21" spans="2:8" ht="33.75">
      <c r="B21" s="62" t="s">
        <v>61</v>
      </c>
      <c r="C21" s="32">
        <f>690025842.3</f>
        <v>690025842.3</v>
      </c>
      <c r="D21" s="32">
        <f>141079475.27</f>
        <v>141079475.27</v>
      </c>
      <c r="E21" s="32">
        <f>141079007.36</f>
        <v>141079007.36</v>
      </c>
      <c r="F21" s="33">
        <f t="shared" si="0"/>
        <v>0.8688251284219928</v>
      </c>
      <c r="G21" s="33">
        <f t="shared" si="1"/>
        <v>20.44553502514525</v>
      </c>
      <c r="H21" s="36"/>
    </row>
    <row r="22" spans="2:8" ht="12.75">
      <c r="B22" s="74" t="s">
        <v>6</v>
      </c>
      <c r="C22" s="32">
        <f>579519663.1</f>
        <v>579519663.1</v>
      </c>
      <c r="D22" s="32">
        <f>102524439.48</f>
        <v>102524439.48</v>
      </c>
      <c r="E22" s="32">
        <f>102524449.08</f>
        <v>102524449.08</v>
      </c>
      <c r="F22" s="33">
        <f t="shared" si="0"/>
        <v>0.6313874440426519</v>
      </c>
      <c r="G22" s="33">
        <f t="shared" si="1"/>
        <v>17.691278831087516</v>
      </c>
      <c r="H22" s="36"/>
    </row>
    <row r="23" spans="2:8" ht="15" customHeight="1">
      <c r="B23" s="62" t="s">
        <v>8</v>
      </c>
      <c r="C23" s="32">
        <f>60008728.9</f>
        <v>60008728.9</v>
      </c>
      <c r="D23" s="32">
        <f>13629448.05</f>
        <v>13629448.05</v>
      </c>
      <c r="E23" s="32">
        <f>13157641.2</f>
        <v>13157641.2</v>
      </c>
      <c r="F23" s="33">
        <f t="shared" si="0"/>
        <v>0.08393571729480481</v>
      </c>
      <c r="G23" s="33">
        <f t="shared" si="1"/>
        <v>22.712442506010156</v>
      </c>
      <c r="H23" s="36"/>
    </row>
    <row r="24" spans="2:8" ht="12.75">
      <c r="B24" s="74" t="s">
        <v>6</v>
      </c>
      <c r="C24" s="32">
        <f>48481502.16</f>
        <v>48481502.16</v>
      </c>
      <c r="D24" s="32">
        <f>7590141.71</f>
        <v>7590141.71</v>
      </c>
      <c r="E24" s="32">
        <f>7336650.21</f>
        <v>7336650.21</v>
      </c>
      <c r="F24" s="33">
        <f t="shared" si="0"/>
        <v>0.04674319799752026</v>
      </c>
      <c r="G24" s="33">
        <f t="shared" si="1"/>
        <v>15.655747804494185</v>
      </c>
      <c r="H24" s="36"/>
    </row>
    <row r="25" spans="2:8" ht="13.5" customHeight="1">
      <c r="B25" s="69" t="s">
        <v>79</v>
      </c>
      <c r="C25" s="30">
        <f>145981162.33</f>
        <v>145981162.33</v>
      </c>
      <c r="D25" s="30">
        <f>56707404.54</f>
        <v>56707404.54</v>
      </c>
      <c r="E25" s="30">
        <f>53767109.45</f>
        <v>53767109.45</v>
      </c>
      <c r="F25" s="34">
        <f t="shared" si="0"/>
        <v>0.34922739780291917</v>
      </c>
      <c r="G25" s="34">
        <f t="shared" si="1"/>
        <v>38.845700112874276</v>
      </c>
      <c r="H25" s="20"/>
    </row>
    <row r="26" spans="2:8" ht="13.5" customHeight="1">
      <c r="B26" s="63" t="s">
        <v>54</v>
      </c>
      <c r="C26" s="35">
        <f>80607162.16</f>
        <v>80607162.16</v>
      </c>
      <c r="D26" s="35">
        <f>23352171.24</f>
        <v>23352171.24</v>
      </c>
      <c r="E26" s="35">
        <f>24789451.24</f>
        <v>24789451.24</v>
      </c>
      <c r="F26" s="33">
        <f t="shared" si="0"/>
        <v>0.14381222454716439</v>
      </c>
      <c r="G26" s="33">
        <f t="shared" si="1"/>
        <v>28.97034285073509</v>
      </c>
      <c r="H26" s="20"/>
    </row>
    <row r="27" spans="2:8" ht="13.5" customHeight="1">
      <c r="B27" s="69" t="s">
        <v>80</v>
      </c>
      <c r="C27" s="75">
        <f>1737619695.5</f>
        <v>1737619695.5</v>
      </c>
      <c r="D27" s="75">
        <f>599874536.4</f>
        <v>599874536.4</v>
      </c>
      <c r="E27" s="75">
        <f>582787757.12</f>
        <v>582787757.12</v>
      </c>
      <c r="F27" s="76">
        <f t="shared" si="0"/>
        <v>3.6942728212403657</v>
      </c>
      <c r="G27" s="76">
        <f t="shared" si="1"/>
        <v>34.52277491752222</v>
      </c>
      <c r="H27" s="20"/>
    </row>
    <row r="28" spans="2:8" ht="10.5" customHeight="1">
      <c r="B28" s="63" t="s">
        <v>77</v>
      </c>
      <c r="C28" s="35">
        <f>1155600372.35</f>
        <v>1155600372.35</v>
      </c>
      <c r="D28" s="35">
        <f>328186883.34</f>
        <v>328186883.34</v>
      </c>
      <c r="E28" s="35">
        <f>327408718.62</f>
        <v>327408718.62</v>
      </c>
      <c r="F28" s="33">
        <f t="shared" si="0"/>
        <v>2.0211090983900353</v>
      </c>
      <c r="G28" s="33">
        <f t="shared" si="1"/>
        <v>28.399686534593904</v>
      </c>
      <c r="H28" s="20"/>
    </row>
    <row r="29" spans="2:8" s="5" customFormat="1" ht="23.25" customHeight="1">
      <c r="B29" s="61" t="s">
        <v>46</v>
      </c>
      <c r="C29" s="30">
        <f>C30+C31+C32+C33</f>
        <v>13274860561</v>
      </c>
      <c r="D29" s="30">
        <f>D30+D31+D32+D33</f>
        <v>7798491832</v>
      </c>
      <c r="E29" s="30">
        <f>E30+E31+E32+E33</f>
        <v>7058309396</v>
      </c>
      <c r="F29" s="31">
        <f t="shared" si="0"/>
        <v>48.02630329088026</v>
      </c>
      <c r="G29" s="31">
        <f t="shared" si="1"/>
        <v>58.74631824692053</v>
      </c>
      <c r="H29" s="21"/>
    </row>
    <row r="30" spans="2:8" ht="11.25" customHeight="1">
      <c r="B30" s="62" t="s">
        <v>33</v>
      </c>
      <c r="C30" s="32">
        <f>9851180151</f>
        <v>9851180151</v>
      </c>
      <c r="D30" s="32">
        <f>6063806664</f>
        <v>6063806664</v>
      </c>
      <c r="E30" s="32">
        <f>5323624228</f>
        <v>5323624228</v>
      </c>
      <c r="F30" s="33">
        <f t="shared" si="0"/>
        <v>37.34340231627043</v>
      </c>
      <c r="G30" s="33">
        <f t="shared" si="1"/>
        <v>61.55411403561084</v>
      </c>
      <c r="H30" s="20"/>
    </row>
    <row r="31" spans="2:8" ht="10.5" customHeight="1">
      <c r="B31" s="62" t="s">
        <v>32</v>
      </c>
      <c r="C31" s="32">
        <f>719074246</f>
        <v>719074246</v>
      </c>
      <c r="D31" s="32">
        <f>359537196</f>
        <v>359537196</v>
      </c>
      <c r="E31" s="32">
        <f>359537196</f>
        <v>359537196</v>
      </c>
      <c r="F31" s="33">
        <f t="shared" si="0"/>
        <v>2.2141771500734273</v>
      </c>
      <c r="G31" s="33">
        <f t="shared" si="1"/>
        <v>50.00001015194194</v>
      </c>
      <c r="H31" s="20"/>
    </row>
    <row r="32" spans="2:8" ht="11.25" customHeight="1">
      <c r="B32" s="62" t="s">
        <v>34</v>
      </c>
      <c r="C32" s="32">
        <f>2606799436</f>
        <v>2606799436</v>
      </c>
      <c r="D32" s="32">
        <f>1303399674</f>
        <v>1303399674</v>
      </c>
      <c r="E32" s="32">
        <f>1303399674</f>
        <v>1303399674</v>
      </c>
      <c r="F32" s="33">
        <f t="shared" si="0"/>
        <v>8.026868451140599</v>
      </c>
      <c r="G32" s="33">
        <f t="shared" si="1"/>
        <v>49.999998312106435</v>
      </c>
      <c r="H32" s="20"/>
    </row>
    <row r="33" spans="2:8" s="5" customFormat="1" ht="12" customHeight="1">
      <c r="B33" s="62" t="s">
        <v>31</v>
      </c>
      <c r="C33" s="32">
        <f>97806728</f>
        <v>97806728</v>
      </c>
      <c r="D33" s="32">
        <f>71748298</f>
        <v>71748298</v>
      </c>
      <c r="E33" s="32">
        <f>71748298</f>
        <v>71748298</v>
      </c>
      <c r="F33" s="33">
        <f t="shared" si="0"/>
        <v>0.4418553733958001</v>
      </c>
      <c r="G33" s="33">
        <f t="shared" si="1"/>
        <v>73.35722139687569</v>
      </c>
      <c r="H33" s="21"/>
    </row>
    <row r="34" spans="2:7" s="5" customFormat="1" ht="12.75">
      <c r="B34" s="77" t="s">
        <v>5</v>
      </c>
      <c r="C34" s="75">
        <f>+C5</f>
        <v>32328965642.91</v>
      </c>
      <c r="D34" s="75">
        <f>+D5</f>
        <v>16237959821.24</v>
      </c>
      <c r="E34" s="75">
        <f>+E5</f>
        <v>15009299997.28</v>
      </c>
      <c r="F34" s="76">
        <f>IF($D$5=0,"",100*$D34/$D$34)</f>
        <v>100</v>
      </c>
      <c r="G34" s="76">
        <f t="shared" si="1"/>
        <v>50.227279154540824</v>
      </c>
    </row>
    <row r="35" spans="2:7" s="5" customFormat="1" ht="13.5" customHeight="1">
      <c r="B35" s="62" t="s">
        <v>55</v>
      </c>
      <c r="C35" s="32">
        <f>3629039683.56</f>
        <v>3629039683.56</v>
      </c>
      <c r="D35" s="32">
        <f>833829733.91</f>
        <v>833829733.91</v>
      </c>
      <c r="E35" s="32">
        <f>809286823.29</f>
        <v>809286823.29</v>
      </c>
      <c r="F35" s="33">
        <f>IF($D$5=0,"",100*$D35/$D$34)</f>
        <v>5.135064645370734</v>
      </c>
      <c r="G35" s="33">
        <f t="shared" si="1"/>
        <v>22.976594543381605</v>
      </c>
    </row>
    <row r="36" spans="1:13" s="5" customFormat="1" ht="14.25" customHeight="1">
      <c r="A36" s="2"/>
      <c r="B36" s="62" t="s">
        <v>56</v>
      </c>
      <c r="C36" s="32">
        <f>C34-C35</f>
        <v>28699925959.35</v>
      </c>
      <c r="D36" s="32">
        <f>D34-D35</f>
        <v>15404130087.33</v>
      </c>
      <c r="E36" s="32">
        <f>E34-E35</f>
        <v>14200013173.990002</v>
      </c>
      <c r="F36" s="33">
        <f>IF($D$5=0,"",100*$D36/$D$34)</f>
        <v>94.86493535462927</v>
      </c>
      <c r="G36" s="33">
        <f t="shared" si="1"/>
        <v>53.673065600058</v>
      </c>
      <c r="I36" s="15"/>
      <c r="J36" s="15"/>
      <c r="K36" s="9"/>
      <c r="L36" s="9"/>
      <c r="M36" s="3"/>
    </row>
    <row r="37" spans="2:13" ht="32.25" customHeight="1">
      <c r="B37" s="126" t="s">
        <v>95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</row>
    <row r="38" spans="2:13" s="5" customFormat="1" ht="9" customHeight="1">
      <c r="B38" s="6"/>
      <c r="C38" s="7"/>
      <c r="D38" s="8"/>
      <c r="E38" s="8"/>
      <c r="F38" s="4"/>
      <c r="G38" s="4"/>
      <c r="H38" s="4"/>
      <c r="I38" s="4"/>
      <c r="J38" s="4"/>
      <c r="K38" s="9"/>
      <c r="L38" s="9"/>
      <c r="M38" s="3"/>
    </row>
    <row r="39" spans="2:27" ht="29.25" customHeight="1">
      <c r="B39" s="128" t="s">
        <v>0</v>
      </c>
      <c r="C39" s="114" t="s">
        <v>40</v>
      </c>
      <c r="D39" s="114" t="s">
        <v>41</v>
      </c>
      <c r="E39" s="114" t="s">
        <v>42</v>
      </c>
      <c r="F39" s="114" t="s">
        <v>12</v>
      </c>
      <c r="G39" s="114"/>
      <c r="H39" s="114"/>
      <c r="I39" s="114" t="s">
        <v>78</v>
      </c>
      <c r="J39" s="114"/>
      <c r="K39" s="114" t="s">
        <v>2</v>
      </c>
      <c r="L39" s="127" t="s">
        <v>27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2:27" ht="18" customHeight="1">
      <c r="B40" s="128"/>
      <c r="C40" s="114"/>
      <c r="D40" s="113"/>
      <c r="E40" s="114"/>
      <c r="F40" s="112" t="s">
        <v>43</v>
      </c>
      <c r="G40" s="115" t="s">
        <v>25</v>
      </c>
      <c r="H40" s="113"/>
      <c r="I40" s="114"/>
      <c r="J40" s="114"/>
      <c r="K40" s="114"/>
      <c r="L40" s="127"/>
      <c r="M40" s="11"/>
      <c r="N40" s="12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2:27" ht="36" customHeight="1">
      <c r="B41" s="128"/>
      <c r="C41" s="114"/>
      <c r="D41" s="113"/>
      <c r="E41" s="114"/>
      <c r="F41" s="113"/>
      <c r="G41" s="17" t="s">
        <v>38</v>
      </c>
      <c r="H41" s="17" t="s">
        <v>39</v>
      </c>
      <c r="I41" s="114"/>
      <c r="J41" s="114"/>
      <c r="K41" s="114"/>
      <c r="L41" s="127"/>
      <c r="M41" s="11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2:27" ht="13.5" customHeight="1">
      <c r="B42" s="128"/>
      <c r="C42" s="129" t="s">
        <v>60</v>
      </c>
      <c r="D42" s="129"/>
      <c r="E42" s="129"/>
      <c r="F42" s="129"/>
      <c r="G42" s="129"/>
      <c r="H42" s="129"/>
      <c r="I42" s="129"/>
      <c r="J42" s="129"/>
      <c r="K42" s="129" t="s">
        <v>4</v>
      </c>
      <c r="L42" s="129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2:27" ht="11.25" customHeight="1">
      <c r="B43" s="16">
        <v>1</v>
      </c>
      <c r="C43" s="18">
        <v>2</v>
      </c>
      <c r="D43" s="18">
        <v>3</v>
      </c>
      <c r="E43" s="18">
        <v>4</v>
      </c>
      <c r="F43" s="16">
        <v>5</v>
      </c>
      <c r="G43" s="16">
        <v>6</v>
      </c>
      <c r="H43" s="18">
        <v>7</v>
      </c>
      <c r="I43" s="113">
        <v>8</v>
      </c>
      <c r="J43" s="113"/>
      <c r="K43" s="16">
        <v>9</v>
      </c>
      <c r="L43" s="18">
        <v>10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2:12" ht="25.5" customHeight="1">
      <c r="B44" s="78" t="s">
        <v>47</v>
      </c>
      <c r="C44" s="79">
        <f>34397301387.44</f>
        <v>34397301387.44</v>
      </c>
      <c r="D44" s="79">
        <f>24773692242.53</f>
        <v>24773692242.53</v>
      </c>
      <c r="E44" s="79">
        <f>13891183378.88</f>
        <v>13891183378.88</v>
      </c>
      <c r="F44" s="79">
        <f>832394124.49</f>
        <v>832394124.49</v>
      </c>
      <c r="G44" s="79">
        <f>353705.65</f>
        <v>353705.65</v>
      </c>
      <c r="H44" s="79">
        <f>6820474.12</f>
        <v>6820474.12</v>
      </c>
      <c r="I44" s="118">
        <f>0</f>
        <v>0</v>
      </c>
      <c r="J44" s="118"/>
      <c r="K44" s="55">
        <f aca="true" t="shared" si="2" ref="K44:K53">IF($E$44=0,"",100*$E44/$E$44)</f>
        <v>100</v>
      </c>
      <c r="L44" s="55">
        <f aca="true" t="shared" si="3" ref="L44:L53">IF(C44=0,"",100*E44/C44)</f>
        <v>40.38451511766645</v>
      </c>
    </row>
    <row r="45" spans="2:12" ht="12.75">
      <c r="B45" s="29" t="s">
        <v>14</v>
      </c>
      <c r="C45" s="39">
        <f>6772783591.21</f>
        <v>6772783591.21</v>
      </c>
      <c r="D45" s="39">
        <f>3575525669.68</f>
        <v>3575525669.68</v>
      </c>
      <c r="E45" s="39">
        <f>1213609439.48</f>
        <v>1213609439.48</v>
      </c>
      <c r="F45" s="39">
        <f>246734634.88</f>
        <v>246734634.88</v>
      </c>
      <c r="G45" s="39">
        <f>107841.5</f>
        <v>107841.5</v>
      </c>
      <c r="H45" s="39">
        <f>19136</f>
        <v>19136</v>
      </c>
      <c r="I45" s="109">
        <f>0</f>
        <v>0</v>
      </c>
      <c r="J45" s="119"/>
      <c r="K45" s="40">
        <f t="shared" si="2"/>
        <v>8.736544658428153</v>
      </c>
      <c r="L45" s="40">
        <f t="shared" si="3"/>
        <v>17.91891654496495</v>
      </c>
    </row>
    <row r="46" spans="2:12" ht="22.5" customHeight="1">
      <c r="B46" s="19" t="s">
        <v>13</v>
      </c>
      <c r="C46" s="35">
        <f>6705001721.21</f>
        <v>6705001721.21</v>
      </c>
      <c r="D46" s="35">
        <f>3530449069.68</f>
        <v>3530449069.68</v>
      </c>
      <c r="E46" s="35">
        <f>1176439839.48</f>
        <v>1176439839.48</v>
      </c>
      <c r="F46" s="35">
        <f>246734634.88</f>
        <v>246734634.88</v>
      </c>
      <c r="G46" s="35">
        <f>107841.5</f>
        <v>107841.5</v>
      </c>
      <c r="H46" s="35">
        <f>19136</f>
        <v>19136</v>
      </c>
      <c r="I46" s="116">
        <f>0</f>
        <v>0</v>
      </c>
      <c r="J46" s="117"/>
      <c r="K46" s="41">
        <f t="shared" si="2"/>
        <v>8.46896774301206</v>
      </c>
      <c r="L46" s="41">
        <f t="shared" si="3"/>
        <v>17.545705256995774</v>
      </c>
    </row>
    <row r="47" spans="2:12" ht="25.5" customHeight="1">
      <c r="B47" s="29" t="s">
        <v>48</v>
      </c>
      <c r="C47" s="39">
        <f aca="true" t="shared" si="4" ref="C47:I47">C44-C45</f>
        <v>27624517796.230003</v>
      </c>
      <c r="D47" s="39">
        <f t="shared" si="4"/>
        <v>21198166572.85</v>
      </c>
      <c r="E47" s="39">
        <f t="shared" si="4"/>
        <v>12677573939.4</v>
      </c>
      <c r="F47" s="39">
        <f t="shared" si="4"/>
        <v>585659489.61</v>
      </c>
      <c r="G47" s="39">
        <f t="shared" si="4"/>
        <v>245864.15000000002</v>
      </c>
      <c r="H47" s="39">
        <f t="shared" si="4"/>
        <v>6801338.12</v>
      </c>
      <c r="I47" s="109">
        <f t="shared" si="4"/>
        <v>0</v>
      </c>
      <c r="J47" s="109"/>
      <c r="K47" s="40">
        <f t="shared" si="2"/>
        <v>91.26345534157186</v>
      </c>
      <c r="L47" s="40">
        <f t="shared" si="3"/>
        <v>45.892471437565305</v>
      </c>
    </row>
    <row r="48" spans="2:12" ht="22.5">
      <c r="B48" s="19" t="s">
        <v>94</v>
      </c>
      <c r="C48" s="35">
        <f>16827653739.64</f>
        <v>16827653739.64</v>
      </c>
      <c r="D48" s="35">
        <f>14711194863.1</f>
        <v>14711194863.1</v>
      </c>
      <c r="E48" s="35">
        <f>8348661164.64</f>
        <v>8348661164.64</v>
      </c>
      <c r="F48" s="35">
        <f>325513373.39</f>
        <v>325513373.39</v>
      </c>
      <c r="G48" s="35">
        <f>0</f>
        <v>0</v>
      </c>
      <c r="H48" s="35">
        <f>3175779.58</f>
        <v>3175779.58</v>
      </c>
      <c r="I48" s="116">
        <f>0</f>
        <v>0</v>
      </c>
      <c r="J48" s="117"/>
      <c r="K48" s="41">
        <f t="shared" si="2"/>
        <v>60.10043159701723</v>
      </c>
      <c r="L48" s="41">
        <f t="shared" si="3"/>
        <v>49.61274633892369</v>
      </c>
    </row>
    <row r="49" spans="2:12" ht="13.5" customHeight="1">
      <c r="B49" s="22" t="s">
        <v>37</v>
      </c>
      <c r="C49" s="80">
        <f>2139438104.82</f>
        <v>2139438104.82</v>
      </c>
      <c r="D49" s="80">
        <f>1517244733.78</f>
        <v>1517244733.78</v>
      </c>
      <c r="E49" s="80">
        <f>1004944550.21</f>
        <v>1004944550.21</v>
      </c>
      <c r="F49" s="80">
        <f>2433528.53</f>
        <v>2433528.53</v>
      </c>
      <c r="G49" s="80">
        <f>0</f>
        <v>0</v>
      </c>
      <c r="H49" s="80">
        <f>392598.46</f>
        <v>392598.46</v>
      </c>
      <c r="I49" s="106">
        <f>0</f>
        <v>0</v>
      </c>
      <c r="J49" s="106"/>
      <c r="K49" s="81">
        <f t="shared" si="2"/>
        <v>7.234405613980351</v>
      </c>
      <c r="L49" s="81">
        <f t="shared" si="3"/>
        <v>46.97235914167988</v>
      </c>
    </row>
    <row r="50" spans="2:12" ht="13.5" customHeight="1">
      <c r="B50" s="22" t="s">
        <v>36</v>
      </c>
      <c r="C50" s="32">
        <f>208841412.19</f>
        <v>208841412.19</v>
      </c>
      <c r="D50" s="32">
        <f>115981215.35</f>
        <v>115981215.35</v>
      </c>
      <c r="E50" s="32">
        <f>82523883.88</f>
        <v>82523883.88</v>
      </c>
      <c r="F50" s="32">
        <f>3292087.65</f>
        <v>3292087.65</v>
      </c>
      <c r="G50" s="32">
        <f>0</f>
        <v>0</v>
      </c>
      <c r="H50" s="32">
        <f>0</f>
        <v>0</v>
      </c>
      <c r="I50" s="105">
        <f>0</f>
        <v>0</v>
      </c>
      <c r="J50" s="105"/>
      <c r="K50" s="81">
        <f t="shared" si="2"/>
        <v>0.5940738209925901</v>
      </c>
      <c r="L50" s="81">
        <f t="shared" si="3"/>
        <v>39.51509569611669</v>
      </c>
    </row>
    <row r="51" spans="2:12" ht="22.5" customHeight="1">
      <c r="B51" s="22" t="s">
        <v>51</v>
      </c>
      <c r="C51" s="80">
        <f>61356748.98</f>
        <v>61356748.98</v>
      </c>
      <c r="D51" s="80">
        <f>6135752.55</f>
        <v>6135752.55</v>
      </c>
      <c r="E51" s="80">
        <f>1979722.96</f>
        <v>1979722.96</v>
      </c>
      <c r="F51" s="80">
        <f>102000</f>
        <v>102000</v>
      </c>
      <c r="G51" s="80">
        <f>0</f>
        <v>0</v>
      </c>
      <c r="H51" s="80">
        <f>0</f>
        <v>0</v>
      </c>
      <c r="I51" s="106">
        <f>0</f>
        <v>0</v>
      </c>
      <c r="J51" s="106"/>
      <c r="K51" s="81">
        <f t="shared" si="2"/>
        <v>0.01425165089253626</v>
      </c>
      <c r="L51" s="81">
        <f t="shared" si="3"/>
        <v>3.226577341386382</v>
      </c>
    </row>
    <row r="52" spans="2:12" ht="22.5" customHeight="1">
      <c r="B52" s="22" t="s">
        <v>53</v>
      </c>
      <c r="C52" s="80">
        <f>1186190187.91</f>
        <v>1186190187.91</v>
      </c>
      <c r="D52" s="80">
        <f>793518243.99</f>
        <v>793518243.99</v>
      </c>
      <c r="E52" s="80">
        <f>525613161.61</f>
        <v>525613161.61</v>
      </c>
      <c r="F52" s="80">
        <f>12749881.68</f>
        <v>12749881.68</v>
      </c>
      <c r="G52" s="80">
        <f>853</f>
        <v>853</v>
      </c>
      <c r="H52" s="80">
        <f>0</f>
        <v>0</v>
      </c>
      <c r="I52" s="110">
        <f>0</f>
        <v>0</v>
      </c>
      <c r="J52" s="111"/>
      <c r="K52" s="81">
        <f t="shared" si="2"/>
        <v>3.7837896691302513</v>
      </c>
      <c r="L52" s="81">
        <f t="shared" si="3"/>
        <v>44.31103603513199</v>
      </c>
    </row>
    <row r="53" spans="2:12" ht="13.5" customHeight="1">
      <c r="B53" s="19" t="s">
        <v>35</v>
      </c>
      <c r="C53" s="35">
        <f aca="true" t="shared" si="5" ref="C53:I53">C47-C48-C49-C50-C51-C52</f>
        <v>7201037602.690005</v>
      </c>
      <c r="D53" s="35">
        <f t="shared" si="5"/>
        <v>4054091764.079998</v>
      </c>
      <c r="E53" s="35">
        <f t="shared" si="5"/>
        <v>2713851456.099999</v>
      </c>
      <c r="F53" s="35">
        <f t="shared" si="5"/>
        <v>241568618.36</v>
      </c>
      <c r="G53" s="35">
        <f t="shared" si="5"/>
        <v>245011.15000000002</v>
      </c>
      <c r="H53" s="35">
        <f t="shared" si="5"/>
        <v>3232960.08</v>
      </c>
      <c r="I53" s="107">
        <f t="shared" si="5"/>
        <v>0</v>
      </c>
      <c r="J53" s="108"/>
      <c r="K53" s="41">
        <f t="shared" si="2"/>
        <v>19.536502989558894</v>
      </c>
      <c r="L53" s="41">
        <f t="shared" si="3"/>
        <v>37.68695021237242</v>
      </c>
    </row>
    <row r="54" spans="2:13" ht="12.75">
      <c r="B54" s="78" t="s">
        <v>15</v>
      </c>
      <c r="C54" s="86">
        <f>C5-C44</f>
        <v>-2068335744.5300026</v>
      </c>
      <c r="D54" s="86"/>
      <c r="E54" s="86">
        <f>D5-E44</f>
        <v>2346776442.3600006</v>
      </c>
      <c r="F54" s="86"/>
      <c r="G54" s="86"/>
      <c r="H54" s="86"/>
      <c r="I54" s="109"/>
      <c r="J54" s="109"/>
      <c r="K54" s="90"/>
      <c r="L54" s="90"/>
      <c r="M54" s="13"/>
    </row>
    <row r="55" spans="2:13" ht="39" customHeight="1">
      <c r="B55" s="87" t="s">
        <v>81</v>
      </c>
      <c r="C55" s="88">
        <f>C36-C47</f>
        <v>1075408163.119995</v>
      </c>
      <c r="D55" s="89"/>
      <c r="E55" s="88">
        <f>D36-E47</f>
        <v>2726556147.9300003</v>
      </c>
      <c r="F55" s="89"/>
      <c r="G55" s="89"/>
      <c r="H55" s="89"/>
      <c r="I55" s="89"/>
      <c r="J55" s="89"/>
      <c r="K55" s="42"/>
      <c r="L55" s="43"/>
      <c r="M55" s="10"/>
    </row>
    <row r="56" spans="2:13" ht="12" customHeight="1" thickBot="1">
      <c r="B56" s="37"/>
      <c r="C56" s="44"/>
      <c r="D56" s="44"/>
      <c r="E56" s="44"/>
      <c r="F56" s="45"/>
      <c r="G56" s="45"/>
      <c r="H56" s="45"/>
      <c r="I56" s="45"/>
      <c r="J56" s="42"/>
      <c r="K56" s="42"/>
      <c r="L56" s="43"/>
      <c r="M56" s="10"/>
    </row>
    <row r="57" spans="2:13" ht="12" customHeight="1" thickBot="1">
      <c r="B57" s="38" t="s">
        <v>57</v>
      </c>
      <c r="C57" s="44"/>
      <c r="D57" s="44"/>
      <c r="E57" s="44"/>
      <c r="F57" s="45"/>
      <c r="G57" s="45"/>
      <c r="H57" s="45"/>
      <c r="I57" s="45"/>
      <c r="J57" s="42"/>
      <c r="K57" s="42"/>
      <c r="L57" s="43"/>
      <c r="M57" s="10"/>
    </row>
    <row r="58" spans="2:13" ht="30" customHeight="1" thickBot="1">
      <c r="B58" s="85" t="s">
        <v>82</v>
      </c>
      <c r="C58" s="82">
        <f>2517339117.87</f>
        <v>2517339117.87</v>
      </c>
      <c r="D58" s="82">
        <f>1287377337.41</f>
        <v>1287377337.41</v>
      </c>
      <c r="E58" s="82">
        <f>560586859.31</f>
        <v>560586859.31</v>
      </c>
      <c r="F58" s="82">
        <f>57622927.58</f>
        <v>57622927.58</v>
      </c>
      <c r="G58" s="82">
        <f>22.33</f>
        <v>22.33</v>
      </c>
      <c r="H58" s="82">
        <f>0</f>
        <v>0</v>
      </c>
      <c r="I58" s="82">
        <f>0</f>
        <v>0</v>
      </c>
      <c r="J58" s="82">
        <f>0</f>
        <v>0</v>
      </c>
      <c r="K58" s="55">
        <f>IF($E$44=0,"",100*$E58/$E$58)</f>
        <v>100</v>
      </c>
      <c r="L58" s="83">
        <f>IF(C58=0,"",100*E58/C58)</f>
        <v>22.269024277679765</v>
      </c>
      <c r="M58" s="10"/>
    </row>
    <row r="59" spans="2:12" ht="13.5" thickBot="1">
      <c r="B59" s="84" t="s">
        <v>58</v>
      </c>
      <c r="C59" s="80">
        <f>1599255133.29</f>
        <v>1599255133.29</v>
      </c>
      <c r="D59" s="80">
        <f>880180089.76</f>
        <v>880180089.76</v>
      </c>
      <c r="E59" s="80">
        <f>319973820.63</f>
        <v>319973820.63</v>
      </c>
      <c r="F59" s="80">
        <f>48527290.24</f>
        <v>48527290.24</v>
      </c>
      <c r="G59" s="80">
        <f>22.33</f>
        <v>22.33</v>
      </c>
      <c r="H59" s="80">
        <f>0</f>
        <v>0</v>
      </c>
      <c r="I59" s="80">
        <f>0</f>
        <v>0</v>
      </c>
      <c r="J59" s="80">
        <f>0</f>
        <v>0</v>
      </c>
      <c r="K59" s="81">
        <f>IF($E$44=0,"",100*$E59/$E$58)</f>
        <v>57.078366236383204</v>
      </c>
      <c r="L59" s="81">
        <f>IF(C59=0,"",100*E59/C59)</f>
        <v>20.007678197771195</v>
      </c>
    </row>
    <row r="60" spans="2:12" ht="13.5" thickBot="1">
      <c r="B60" s="84" t="s">
        <v>59</v>
      </c>
      <c r="C60" s="80">
        <f>C58-C59</f>
        <v>918083984.5799999</v>
      </c>
      <c r="D60" s="80">
        <f aca="true" t="shared" si="6" ref="D60:J60">D58-D59</f>
        <v>407197247.6500001</v>
      </c>
      <c r="E60" s="80">
        <f t="shared" si="6"/>
        <v>240613038.67999995</v>
      </c>
      <c r="F60" s="80">
        <f t="shared" si="6"/>
        <v>9095637.339999996</v>
      </c>
      <c r="G60" s="80">
        <f t="shared" si="6"/>
        <v>0</v>
      </c>
      <c r="H60" s="80">
        <f t="shared" si="6"/>
        <v>0</v>
      </c>
      <c r="I60" s="80">
        <f t="shared" si="6"/>
        <v>0</v>
      </c>
      <c r="J60" s="80">
        <f t="shared" si="6"/>
        <v>0</v>
      </c>
      <c r="K60" s="81">
        <f>IF($E$44=0,"",100*$E60/$E$58)</f>
        <v>42.9216337636168</v>
      </c>
      <c r="L60" s="81">
        <f>IF(C60=0,"",100*E60/C60)</f>
        <v>26.20817296906386</v>
      </c>
    </row>
    <row r="61" spans="2:13" ht="25.5" customHeight="1">
      <c r="B61" s="126" t="s">
        <v>95</v>
      </c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</row>
    <row r="62" spans="2:8" ht="12.75">
      <c r="B62" s="26" t="s">
        <v>16</v>
      </c>
      <c r="C62" s="120" t="s">
        <v>17</v>
      </c>
      <c r="D62" s="121"/>
      <c r="E62" s="120" t="s">
        <v>1</v>
      </c>
      <c r="F62" s="121"/>
      <c r="G62" s="18" t="s">
        <v>22</v>
      </c>
      <c r="H62" s="18" t="s">
        <v>23</v>
      </c>
    </row>
    <row r="63" spans="2:8" ht="12.75">
      <c r="B63" s="26"/>
      <c r="C63" s="112" t="s">
        <v>60</v>
      </c>
      <c r="D63" s="122"/>
      <c r="E63" s="122"/>
      <c r="F63" s="123"/>
      <c r="G63" s="124" t="s">
        <v>4</v>
      </c>
      <c r="H63" s="125"/>
    </row>
    <row r="64" spans="2:8" ht="12.75">
      <c r="B64" s="24">
        <v>1</v>
      </c>
      <c r="C64" s="27">
        <v>2</v>
      </c>
      <c r="D64" s="28"/>
      <c r="E64" s="27">
        <v>3</v>
      </c>
      <c r="F64" s="28"/>
      <c r="G64" s="25">
        <v>4</v>
      </c>
      <c r="H64" s="25">
        <v>5</v>
      </c>
    </row>
    <row r="65" spans="2:8" ht="22.5">
      <c r="B65" s="66" t="s">
        <v>49</v>
      </c>
      <c r="C65" s="46">
        <f>3004976036.83</f>
        <v>3004976036.83</v>
      </c>
      <c r="D65" s="47"/>
      <c r="E65" s="46">
        <f>3083108533.39</f>
        <v>3083108533.39</v>
      </c>
      <c r="F65" s="47"/>
      <c r="G65" s="48">
        <f>IF($E$65=0,"",100*$E65/$E$65)</f>
        <v>100</v>
      </c>
      <c r="H65" s="40">
        <f>IF(C65=0,"",100*E65/C65)</f>
        <v>102.60010381455233</v>
      </c>
    </row>
    <row r="66" spans="2:8" ht="25.5" customHeight="1">
      <c r="B66" s="67" t="s">
        <v>83</v>
      </c>
      <c r="C66" s="49">
        <f>1160946239.93</f>
        <v>1160946239.93</v>
      </c>
      <c r="D66" s="50"/>
      <c r="E66" s="49">
        <f>41725721.29</f>
        <v>41725721.29</v>
      </c>
      <c r="F66" s="50"/>
      <c r="G66" s="51">
        <f aca="true" t="shared" si="7" ref="G66:G72">IF($E$65=0,"",100*$E66/$E$65)</f>
        <v>1.3533653077117243</v>
      </c>
      <c r="H66" s="52">
        <f aca="true" t="shared" si="8" ref="H66:H77">IF(C66=0,"",100*E66/C66)</f>
        <v>3.5941131341719905</v>
      </c>
    </row>
    <row r="67" spans="2:8" ht="24" customHeight="1">
      <c r="B67" s="91" t="s">
        <v>84</v>
      </c>
      <c r="C67" s="92">
        <f>26000000</f>
        <v>26000000</v>
      </c>
      <c r="D67" s="93"/>
      <c r="E67" s="92">
        <f>0</f>
        <v>0</v>
      </c>
      <c r="F67" s="93"/>
      <c r="G67" s="94">
        <f t="shared" si="7"/>
        <v>0</v>
      </c>
      <c r="H67" s="95">
        <f t="shared" si="8"/>
        <v>0</v>
      </c>
    </row>
    <row r="68" spans="2:8" ht="12.75">
      <c r="B68" s="96" t="s">
        <v>85</v>
      </c>
      <c r="C68" s="92">
        <f>58523710.03</f>
        <v>58523710.03</v>
      </c>
      <c r="D68" s="93"/>
      <c r="E68" s="92">
        <f>6303786.3</f>
        <v>6303786.3</v>
      </c>
      <c r="F68" s="93"/>
      <c r="G68" s="94">
        <f t="shared" si="7"/>
        <v>0.20446203017928588</v>
      </c>
      <c r="H68" s="95">
        <f t="shared" si="8"/>
        <v>10.771337457534047</v>
      </c>
    </row>
    <row r="69" spans="2:8" ht="16.5" customHeight="1">
      <c r="B69" s="96" t="s">
        <v>86</v>
      </c>
      <c r="C69" s="92">
        <f>219833177.42</f>
        <v>219833177.42</v>
      </c>
      <c r="D69" s="93"/>
      <c r="E69" s="92">
        <f>493412225.81</f>
        <v>493412225.81</v>
      </c>
      <c r="F69" s="93"/>
      <c r="G69" s="94">
        <f t="shared" si="7"/>
        <v>16.003725475971933</v>
      </c>
      <c r="H69" s="95">
        <f t="shared" si="8"/>
        <v>224.44848025251275</v>
      </c>
    </row>
    <row r="70" spans="2:8" ht="12.75">
      <c r="B70" s="96" t="s">
        <v>87</v>
      </c>
      <c r="C70" s="92">
        <f>0</f>
        <v>0</v>
      </c>
      <c r="D70" s="93"/>
      <c r="E70" s="92">
        <f>0</f>
        <v>0</v>
      </c>
      <c r="F70" s="93"/>
      <c r="G70" s="94">
        <f t="shared" si="7"/>
        <v>0</v>
      </c>
      <c r="H70" s="95">
        <f t="shared" si="8"/>
      </c>
    </row>
    <row r="71" spans="2:8" ht="33.75">
      <c r="B71" s="96" t="s">
        <v>62</v>
      </c>
      <c r="C71" s="92">
        <f>1033886073.77</f>
        <v>1033886073.77</v>
      </c>
      <c r="D71" s="93"/>
      <c r="E71" s="92">
        <f>1939831713.82</f>
        <v>1939831713.82</v>
      </c>
      <c r="F71" s="93"/>
      <c r="G71" s="94">
        <f t="shared" si="7"/>
        <v>62.91804822346226</v>
      </c>
      <c r="H71" s="95">
        <f t="shared" si="8"/>
        <v>187.6252870634505</v>
      </c>
    </row>
    <row r="72" spans="2:8" ht="12.75">
      <c r="B72" s="91" t="s">
        <v>63</v>
      </c>
      <c r="C72" s="92">
        <f>10273809.73</f>
        <v>10273809.73</v>
      </c>
      <c r="D72" s="93"/>
      <c r="E72" s="92">
        <f>10273809.48</f>
        <v>10273809.48</v>
      </c>
      <c r="F72" s="93"/>
      <c r="G72" s="94">
        <f t="shared" si="7"/>
        <v>0.3332289268682844</v>
      </c>
      <c r="H72" s="95">
        <f t="shared" si="8"/>
        <v>99.99999756662808</v>
      </c>
    </row>
    <row r="73" spans="2:8" ht="22.5">
      <c r="B73" s="66" t="s">
        <v>50</v>
      </c>
      <c r="C73" s="58">
        <f>922918063.21</f>
        <v>922918063.21</v>
      </c>
      <c r="D73" s="59"/>
      <c r="E73" s="58">
        <f>410645542.7</f>
        <v>410645542.7</v>
      </c>
      <c r="F73" s="59"/>
      <c r="G73" s="48">
        <f>IF($E$73=0,"",100*$E73/$E$73)</f>
        <v>100</v>
      </c>
      <c r="H73" s="40">
        <f t="shared" si="8"/>
        <v>44.49425784036931</v>
      </c>
    </row>
    <row r="74" spans="2:8" ht="33.75" customHeight="1">
      <c r="B74" s="67" t="s">
        <v>90</v>
      </c>
      <c r="C74" s="49">
        <f>827085801.02</f>
        <v>827085801.02</v>
      </c>
      <c r="D74" s="57"/>
      <c r="E74" s="56">
        <f>329406702.08</f>
        <v>329406702.08</v>
      </c>
      <c r="F74" s="57"/>
      <c r="G74" s="51">
        <f>IF($E$73=0,"",100*$E74/$E$73)</f>
        <v>80.21679717114338</v>
      </c>
      <c r="H74" s="52">
        <f t="shared" si="8"/>
        <v>39.82739174989592</v>
      </c>
    </row>
    <row r="75" spans="2:8" ht="12" customHeight="1">
      <c r="B75" s="96" t="s">
        <v>88</v>
      </c>
      <c r="C75" s="92">
        <f>21785000</f>
        <v>21785000</v>
      </c>
      <c r="D75" s="93"/>
      <c r="E75" s="92">
        <f>1150000</f>
        <v>1150000</v>
      </c>
      <c r="F75" s="93"/>
      <c r="G75" s="94">
        <f>IF($E$73=0,"",100*$E75/$E$73)</f>
        <v>0.28004687264805905</v>
      </c>
      <c r="H75" s="95">
        <f t="shared" si="8"/>
        <v>5.278861602019738</v>
      </c>
    </row>
    <row r="76" spans="2:8" ht="12.75">
      <c r="B76" s="96" t="s">
        <v>89</v>
      </c>
      <c r="C76" s="92">
        <f>77567354.71</f>
        <v>77567354.71</v>
      </c>
      <c r="D76" s="93"/>
      <c r="E76" s="92">
        <f>48512910.3</f>
        <v>48512910.3</v>
      </c>
      <c r="F76" s="93"/>
      <c r="G76" s="94">
        <f>IF($E$73=0,"",100*$E76/$E$73)</f>
        <v>11.81381635875723</v>
      </c>
      <c r="H76" s="95">
        <f t="shared" si="8"/>
        <v>62.542947972603365</v>
      </c>
    </row>
    <row r="77" spans="2:8" ht="12.75">
      <c r="B77" s="68" t="s">
        <v>24</v>
      </c>
      <c r="C77" s="92">
        <f>18264907.48</f>
        <v>18264907.48</v>
      </c>
      <c r="D77" s="93"/>
      <c r="E77" s="92">
        <f>32725930.32</f>
        <v>32725930.32</v>
      </c>
      <c r="F77" s="93"/>
      <c r="G77" s="94">
        <f>IF($E$73=0,"",100*$E77/$E$73)</f>
        <v>7.969386470099387</v>
      </c>
      <c r="H77" s="95">
        <f t="shared" si="8"/>
        <v>179.17380833072798</v>
      </c>
    </row>
    <row r="78" ht="12.75">
      <c r="B78" s="23"/>
    </row>
    <row r="79" spans="2:8" ht="12.75">
      <c r="B79" s="60" t="s">
        <v>16</v>
      </c>
      <c r="C79" s="120" t="s">
        <v>17</v>
      </c>
      <c r="D79" s="121"/>
      <c r="E79" s="120" t="s">
        <v>1</v>
      </c>
      <c r="F79" s="121"/>
      <c r="G79" s="18" t="s">
        <v>22</v>
      </c>
      <c r="H79" s="18" t="s">
        <v>23</v>
      </c>
    </row>
    <row r="80" spans="2:8" ht="12.75">
      <c r="B80" s="60"/>
      <c r="C80" s="112" t="s">
        <v>60</v>
      </c>
      <c r="D80" s="122"/>
      <c r="E80" s="122"/>
      <c r="F80" s="123"/>
      <c r="G80" s="124" t="s">
        <v>4</v>
      </c>
      <c r="H80" s="125"/>
    </row>
    <row r="81" spans="2:8" ht="12.75">
      <c r="B81" s="24">
        <v>1</v>
      </c>
      <c r="C81" s="27">
        <v>2</v>
      </c>
      <c r="D81" s="28"/>
      <c r="E81" s="27">
        <v>3</v>
      </c>
      <c r="F81" s="28"/>
      <c r="G81" s="25">
        <v>4</v>
      </c>
      <c r="H81" s="25">
        <v>5</v>
      </c>
    </row>
    <row r="82" spans="2:8" ht="22.5">
      <c r="B82" s="65" t="s">
        <v>64</v>
      </c>
      <c r="C82" s="53">
        <f>2127507204.57</f>
        <v>2127507204.57</v>
      </c>
      <c r="D82" s="54"/>
      <c r="E82" s="53">
        <f>0</f>
        <v>0</v>
      </c>
      <c r="F82" s="47"/>
      <c r="G82" s="48"/>
      <c r="H82" s="40"/>
    </row>
    <row r="83" spans="2:8" ht="56.25">
      <c r="B83" s="97" t="s">
        <v>65</v>
      </c>
      <c r="C83" s="92">
        <f>20827580.84</f>
        <v>20827580.84</v>
      </c>
      <c r="D83" s="93"/>
      <c r="E83" s="92">
        <f>0</f>
        <v>0</v>
      </c>
      <c r="F83" s="93"/>
      <c r="G83" s="94"/>
      <c r="H83" s="95"/>
    </row>
    <row r="84" spans="2:8" ht="12.75">
      <c r="B84" s="97" t="s">
        <v>66</v>
      </c>
      <c r="C84" s="92">
        <f>757651027.27</f>
        <v>757651027.27</v>
      </c>
      <c r="D84" s="93"/>
      <c r="E84" s="92">
        <f>0</f>
        <v>0</v>
      </c>
      <c r="F84" s="93"/>
      <c r="G84" s="94"/>
      <c r="H84" s="95"/>
    </row>
    <row r="85" spans="2:8" ht="22.5">
      <c r="B85" s="97" t="s">
        <v>67</v>
      </c>
      <c r="C85" s="92">
        <f>0</f>
        <v>0</v>
      </c>
      <c r="D85" s="93"/>
      <c r="E85" s="92">
        <f>0</f>
        <v>0</v>
      </c>
      <c r="F85" s="93"/>
      <c r="G85" s="94"/>
      <c r="H85" s="95"/>
    </row>
    <row r="86" spans="2:8" ht="33.75">
      <c r="B86" s="97" t="s">
        <v>68</v>
      </c>
      <c r="C86" s="92">
        <f>176928237.76</f>
        <v>176928237.76</v>
      </c>
      <c r="D86" s="93"/>
      <c r="E86" s="92">
        <f>0</f>
        <v>0</v>
      </c>
      <c r="F86" s="93"/>
      <c r="G86" s="94"/>
      <c r="H86" s="95"/>
    </row>
    <row r="87" spans="2:8" ht="101.25">
      <c r="B87" s="97" t="s">
        <v>69</v>
      </c>
      <c r="C87" s="92">
        <f>695042581.55</f>
        <v>695042581.55</v>
      </c>
      <c r="D87" s="93"/>
      <c r="E87" s="92">
        <f>0</f>
        <v>0</v>
      </c>
      <c r="F87" s="93"/>
      <c r="G87" s="94"/>
      <c r="H87" s="95"/>
    </row>
    <row r="88" spans="2:6" ht="12.75">
      <c r="B88" s="60" t="s">
        <v>16</v>
      </c>
      <c r="C88" s="120" t="s">
        <v>93</v>
      </c>
      <c r="D88" s="130"/>
      <c r="E88" s="130"/>
      <c r="F88" s="121"/>
    </row>
    <row r="89" spans="2:6" ht="12.75">
      <c r="B89" s="60"/>
      <c r="C89" s="112" t="s">
        <v>60</v>
      </c>
      <c r="D89" s="122"/>
      <c r="E89" s="122"/>
      <c r="F89" s="123"/>
    </row>
    <row r="90" spans="2:6" ht="12.75">
      <c r="B90" s="24">
        <v>1</v>
      </c>
      <c r="C90" s="102">
        <v>2</v>
      </c>
      <c r="D90" s="103"/>
      <c r="E90" s="103"/>
      <c r="F90" s="104"/>
    </row>
    <row r="91" spans="2:6" ht="56.25">
      <c r="B91" s="65" t="s">
        <v>70</v>
      </c>
      <c r="C91" s="99">
        <f>0</f>
        <v>0</v>
      </c>
      <c r="D91" s="100"/>
      <c r="E91" s="100"/>
      <c r="F91" s="101"/>
    </row>
    <row r="92" spans="2:6" ht="33.75">
      <c r="B92" s="64" t="s">
        <v>71</v>
      </c>
      <c r="C92" s="99">
        <f>0</f>
        <v>0</v>
      </c>
      <c r="D92" s="100"/>
      <c r="E92" s="100"/>
      <c r="F92" s="101"/>
    </row>
    <row r="93" spans="2:6" ht="36" customHeight="1">
      <c r="B93" s="64" t="s">
        <v>72</v>
      </c>
      <c r="C93" s="99">
        <f>0</f>
        <v>0</v>
      </c>
      <c r="D93" s="100"/>
      <c r="E93" s="100"/>
      <c r="F93" s="101"/>
    </row>
    <row r="94" spans="2:6" ht="69" customHeight="1">
      <c r="B94" s="64" t="s">
        <v>73</v>
      </c>
      <c r="C94" s="99">
        <f>0</f>
        <v>0</v>
      </c>
      <c r="D94" s="100"/>
      <c r="E94" s="100"/>
      <c r="F94" s="101"/>
    </row>
    <row r="95" spans="2:6" ht="45">
      <c r="B95" s="64" t="s">
        <v>74</v>
      </c>
      <c r="C95" s="99">
        <f>0</f>
        <v>0</v>
      </c>
      <c r="D95" s="100"/>
      <c r="E95" s="100"/>
      <c r="F95" s="101"/>
    </row>
    <row r="96" spans="2:6" ht="56.25">
      <c r="B96" s="98" t="s">
        <v>75</v>
      </c>
      <c r="C96" s="99">
        <f>0</f>
        <v>0</v>
      </c>
      <c r="D96" s="100"/>
      <c r="E96" s="100"/>
      <c r="F96" s="101"/>
    </row>
    <row r="97" spans="2:6" ht="45">
      <c r="B97" s="98" t="s">
        <v>76</v>
      </c>
      <c r="C97" s="99">
        <f>0</f>
        <v>0</v>
      </c>
      <c r="D97" s="100"/>
      <c r="E97" s="100"/>
      <c r="F97" s="101"/>
    </row>
    <row r="98" spans="2:6" ht="90">
      <c r="B98" s="98" t="s">
        <v>91</v>
      </c>
      <c r="C98" s="99">
        <f>0</f>
        <v>0</v>
      </c>
      <c r="D98" s="100"/>
      <c r="E98" s="100"/>
      <c r="F98" s="101"/>
    </row>
    <row r="99" spans="2:6" ht="90">
      <c r="B99" s="98" t="s">
        <v>92</v>
      </c>
      <c r="C99" s="99">
        <f>0</f>
        <v>0</v>
      </c>
      <c r="D99" s="100"/>
      <c r="E99" s="100"/>
      <c r="F99" s="101"/>
    </row>
  </sheetData>
  <sheetProtection/>
  <mergeCells count="50">
    <mergeCell ref="C89:F89"/>
    <mergeCell ref="C79:D79"/>
    <mergeCell ref="E79:F79"/>
    <mergeCell ref="C80:F80"/>
    <mergeCell ref="G80:H80"/>
    <mergeCell ref="C88:F88"/>
    <mergeCell ref="L39:L41"/>
    <mergeCell ref="B2:B3"/>
    <mergeCell ref="C39:C41"/>
    <mergeCell ref="B39:B42"/>
    <mergeCell ref="K39:K41"/>
    <mergeCell ref="K42:L42"/>
    <mergeCell ref="F3:H3"/>
    <mergeCell ref="B37:M37"/>
    <mergeCell ref="C42:J42"/>
    <mergeCell ref="C3:E3"/>
    <mergeCell ref="C62:D62"/>
    <mergeCell ref="E62:F62"/>
    <mergeCell ref="C63:F63"/>
    <mergeCell ref="G63:H63"/>
    <mergeCell ref="I43:J43"/>
    <mergeCell ref="B1:M1"/>
    <mergeCell ref="B61:M61"/>
    <mergeCell ref="I39:J41"/>
    <mergeCell ref="D39:D41"/>
    <mergeCell ref="E39:E41"/>
    <mergeCell ref="F39:H39"/>
    <mergeCell ref="G40:H40"/>
    <mergeCell ref="I48:J48"/>
    <mergeCell ref="I49:J49"/>
    <mergeCell ref="I44:J44"/>
    <mergeCell ref="I45:J45"/>
    <mergeCell ref="I46:J46"/>
    <mergeCell ref="I47:J47"/>
    <mergeCell ref="I50:J50"/>
    <mergeCell ref="I51:J51"/>
    <mergeCell ref="I53:J53"/>
    <mergeCell ref="I54:J54"/>
    <mergeCell ref="I52:J52"/>
    <mergeCell ref="F40:F41"/>
    <mergeCell ref="C96:F96"/>
    <mergeCell ref="C97:F97"/>
    <mergeCell ref="C98:F98"/>
    <mergeCell ref="C99:F99"/>
    <mergeCell ref="C90:F90"/>
    <mergeCell ref="C91:F91"/>
    <mergeCell ref="C92:F92"/>
    <mergeCell ref="C93:F93"/>
    <mergeCell ref="C94:F94"/>
    <mergeCell ref="C95:F95"/>
  </mergeCells>
  <printOptions/>
  <pageMargins left="0.1968503937007874" right="0.1968503937007874" top="0.35433070866141736" bottom="0.3937007874015748" header="0.31496062992125984" footer="0.1968503937007874"/>
  <pageSetup firstPageNumber="1" useFirstPageNumber="1" horizontalDpi="600" verticalDpi="600" orientation="landscape" paperSize="9" scale="85" r:id="rId3"/>
  <headerFooter alignWithMargins="0">
    <oddFooter>&amp;RStrona &amp;P z &amp;N</oddFooter>
  </headerFooter>
  <rowBreaks count="3" manualBreakCount="3">
    <brk id="36" max="255" man="1"/>
    <brk id="60" max="255" man="1"/>
    <brk id="87" min="1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2017-03-30T11:49:59Z</cp:lastPrinted>
  <dcterms:created xsi:type="dcterms:W3CDTF">2001-05-17T08:58:03Z</dcterms:created>
  <dcterms:modified xsi:type="dcterms:W3CDTF">2020-08-24T20:36:46Z</dcterms:modified>
  <cp:category/>
  <cp:version/>
  <cp:contentType/>
  <cp:contentStatus/>
</cp:coreProperties>
</file>