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istore2\katalogi\kgrzegorczuk\MojeKK\Praca\Z pulpitu\zal do eDOK\RzFRD do zatwierdzenia\"/>
    </mc:Choice>
  </mc:AlternateContent>
  <bookViews>
    <workbookView xWindow="0" yWindow="0" windowWidth="28800" windowHeight="11580" activeTab="4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podst'!$A$2:$AD$104</definedName>
    <definedName name="_xlnm.Print_Area" localSheetId="2">'gm podst'!$A$1:$Z$111</definedName>
    <definedName name="_xlnm.Print_Area" localSheetId="4">'gm rez'!$A$1:$Z$58</definedName>
    <definedName name="_xlnm.Print_Area" localSheetId="1">'pow podst'!$A$1:$Y$71</definedName>
    <definedName name="_xlnm.Print_Area" localSheetId="3">'pow rez'!$A$1:$Y$43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/>
</workbook>
</file>

<file path=xl/calcChain.xml><?xml version="1.0" encoding="utf-8"?>
<calcChain xmlns="http://schemas.openxmlformats.org/spreadsheetml/2006/main">
  <c r="AC14" i="3" l="1"/>
  <c r="AA4" i="3"/>
  <c r="AA6" i="3"/>
  <c r="AA8" i="3"/>
  <c r="AB8" i="3" s="1"/>
  <c r="AA17" i="3"/>
  <c r="AB17" i="3" s="1"/>
  <c r="AA24" i="3"/>
  <c r="AB24" i="3" s="1"/>
  <c r="Z4" i="3"/>
  <c r="Z6" i="3"/>
  <c r="Z8" i="3"/>
  <c r="Z14" i="3"/>
  <c r="AD18" i="5"/>
  <c r="AB8" i="5"/>
  <c r="AC8" i="5" s="1"/>
  <c r="AB18" i="5"/>
  <c r="AB31" i="5"/>
  <c r="AC31" i="5" s="1"/>
  <c r="AA8" i="5"/>
  <c r="AA18" i="5"/>
  <c r="AA34" i="5"/>
  <c r="U40" i="5"/>
  <c r="T40" i="5"/>
  <c r="L40" i="5"/>
  <c r="AB40" i="5" s="1"/>
  <c r="AC40" i="5" s="1"/>
  <c r="U39" i="5"/>
  <c r="T39" i="5"/>
  <c r="L39" i="5"/>
  <c r="U38" i="5"/>
  <c r="T38" i="5"/>
  <c r="L38" i="5"/>
  <c r="M38" i="5" s="1"/>
  <c r="V37" i="5"/>
  <c r="U37" i="5"/>
  <c r="T37" i="5"/>
  <c r="L37" i="5"/>
  <c r="AB37" i="5" s="1"/>
  <c r="AC37" i="5" s="1"/>
  <c r="U36" i="5"/>
  <c r="T36" i="5"/>
  <c r="L36" i="5"/>
  <c r="AB36" i="5" s="1"/>
  <c r="AC36" i="5" s="1"/>
  <c r="U35" i="5"/>
  <c r="T35" i="5"/>
  <c r="L35" i="5"/>
  <c r="U34" i="5"/>
  <c r="T34" i="5"/>
  <c r="L34" i="5"/>
  <c r="U33" i="5"/>
  <c r="T33" i="5"/>
  <c r="L33" i="5"/>
  <c r="U32" i="5"/>
  <c r="L32" i="5"/>
  <c r="M32" i="5" s="1"/>
  <c r="AD32" i="5" s="1"/>
  <c r="U31" i="5"/>
  <c r="L31" i="5"/>
  <c r="U30" i="5"/>
  <c r="L30" i="5"/>
  <c r="V29" i="5"/>
  <c r="U29" i="5"/>
  <c r="T29" i="5"/>
  <c r="L29" i="5"/>
  <c r="V28" i="5"/>
  <c r="U28" i="5"/>
  <c r="T28" i="5"/>
  <c r="L28" i="5"/>
  <c r="M28" i="5" s="1"/>
  <c r="U27" i="5"/>
  <c r="T27" i="5"/>
  <c r="L27" i="5"/>
  <c r="U26" i="5"/>
  <c r="T26" i="5"/>
  <c r="L26" i="5"/>
  <c r="M26" i="5" s="1"/>
  <c r="T25" i="5"/>
  <c r="U25" i="5" s="1"/>
  <c r="L25" i="5"/>
  <c r="V24" i="5"/>
  <c r="U24" i="5"/>
  <c r="T24" i="5"/>
  <c r="L24" i="5"/>
  <c r="M24" i="5" s="1"/>
  <c r="U23" i="5"/>
  <c r="T23" i="5"/>
  <c r="L23" i="5"/>
  <c r="T22" i="5"/>
  <c r="L22" i="5"/>
  <c r="M22" i="5" s="1"/>
  <c r="U21" i="5"/>
  <c r="T21" i="5"/>
  <c r="L21" i="5"/>
  <c r="L20" i="5"/>
  <c r="L19" i="5"/>
  <c r="N18" i="5"/>
  <c r="M18" i="5"/>
  <c r="U17" i="5"/>
  <c r="T17" i="5"/>
  <c r="L17" i="5"/>
  <c r="U16" i="5"/>
  <c r="T16" i="5"/>
  <c r="L16" i="5"/>
  <c r="M16" i="5" s="1"/>
  <c r="U15" i="5"/>
  <c r="T15" i="5"/>
  <c r="L15" i="5"/>
  <c r="L14" i="5"/>
  <c r="L13" i="5"/>
  <c r="M13" i="5" s="1"/>
  <c r="L12" i="5"/>
  <c r="M12" i="5" s="1"/>
  <c r="L11" i="5"/>
  <c r="L10" i="5"/>
  <c r="AA10" i="5" s="1"/>
  <c r="U9" i="5"/>
  <c r="T9" i="5"/>
  <c r="L9" i="5"/>
  <c r="M9" i="5" s="1"/>
  <c r="M8" i="5"/>
  <c r="AD8" i="5" s="1"/>
  <c r="V7" i="5"/>
  <c r="U7" i="5"/>
  <c r="T7" i="5"/>
  <c r="L7" i="5"/>
  <c r="V6" i="5"/>
  <c r="U6" i="5"/>
  <c r="T6" i="5"/>
  <c r="L6" i="5"/>
  <c r="L5" i="5"/>
  <c r="S4" i="5"/>
  <c r="L4" i="5"/>
  <c r="M4" i="5" s="1"/>
  <c r="T3" i="5"/>
  <c r="S3" i="5"/>
  <c r="L3" i="5"/>
  <c r="M3" i="5" s="1"/>
  <c r="T34" i="3"/>
  <c r="K34" i="3"/>
  <c r="L34" i="3" s="1"/>
  <c r="U33" i="3"/>
  <c r="T33" i="3"/>
  <c r="S33" i="3"/>
  <c r="K33" i="3"/>
  <c r="L33" i="3" s="1"/>
  <c r="K32" i="3"/>
  <c r="S32" i="3" s="1"/>
  <c r="K31" i="3"/>
  <c r="L31" i="3" s="1"/>
  <c r="T30" i="3"/>
  <c r="S30" i="3"/>
  <c r="K30" i="3"/>
  <c r="L30" i="3" s="1"/>
  <c r="U29" i="3"/>
  <c r="T29" i="3"/>
  <c r="S29" i="3"/>
  <c r="K29" i="3"/>
  <c r="L29" i="3" s="1"/>
  <c r="T28" i="3"/>
  <c r="S28" i="3"/>
  <c r="K28" i="3"/>
  <c r="L28" i="3" s="1"/>
  <c r="T27" i="3"/>
  <c r="S27" i="3"/>
  <c r="K27" i="3"/>
  <c r="L27" i="3" s="1"/>
  <c r="K26" i="3"/>
  <c r="T26" i="3" s="1"/>
  <c r="K25" i="3"/>
  <c r="T25" i="3" s="1"/>
  <c r="K24" i="3"/>
  <c r="T24" i="3" s="1"/>
  <c r="U23" i="3"/>
  <c r="T23" i="3"/>
  <c r="S23" i="3"/>
  <c r="K23" i="3"/>
  <c r="L23" i="3" s="1"/>
  <c r="T22" i="3"/>
  <c r="S22" i="3"/>
  <c r="K22" i="3"/>
  <c r="L22" i="3" s="1"/>
  <c r="T21" i="3"/>
  <c r="S21" i="3"/>
  <c r="K21" i="3"/>
  <c r="L21" i="3" s="1"/>
  <c r="T20" i="3"/>
  <c r="S20" i="3"/>
  <c r="K20" i="3"/>
  <c r="L20" i="3" s="1"/>
  <c r="K19" i="3"/>
  <c r="L19" i="3" s="1"/>
  <c r="T18" i="3"/>
  <c r="S18" i="3"/>
  <c r="K18" i="3"/>
  <c r="L18" i="3" s="1"/>
  <c r="K17" i="3"/>
  <c r="L17" i="3" s="1"/>
  <c r="K16" i="3"/>
  <c r="L16" i="3" s="1"/>
  <c r="K15" i="3"/>
  <c r="L15" i="3" s="1"/>
  <c r="K14" i="3"/>
  <c r="L14" i="3" s="1"/>
  <c r="K13" i="3"/>
  <c r="L13" i="3" s="1"/>
  <c r="K12" i="3"/>
  <c r="L12" i="3" s="1"/>
  <c r="K11" i="3"/>
  <c r="L11" i="3" s="1"/>
  <c r="S10" i="3"/>
  <c r="K10" i="3"/>
  <c r="L10" i="3" s="1"/>
  <c r="K9" i="3"/>
  <c r="L9" i="3" s="1"/>
  <c r="L8" i="3"/>
  <c r="AC8" i="3" s="1"/>
  <c r="K7" i="3"/>
  <c r="L7" i="3" s="1"/>
  <c r="M6" i="3"/>
  <c r="L6" i="3"/>
  <c r="AC6" i="3" s="1"/>
  <c r="S5" i="3"/>
  <c r="K5" i="3"/>
  <c r="L5" i="3" s="1"/>
  <c r="M4" i="3"/>
  <c r="AB4" i="3" s="1"/>
  <c r="L4" i="3"/>
  <c r="AC4" i="3" s="1"/>
  <c r="AA28" i="5" l="1"/>
  <c r="AA29" i="5"/>
  <c r="AC18" i="5"/>
  <c r="AA6" i="5"/>
  <c r="AA17" i="5"/>
  <c r="AA24" i="5"/>
  <c r="AB16" i="5"/>
  <c r="AC16" i="5" s="1"/>
  <c r="AA9" i="5"/>
  <c r="AB13" i="5"/>
  <c r="AC13" i="5" s="1"/>
  <c r="AD26" i="5"/>
  <c r="AB12" i="5"/>
  <c r="AC12" i="5" s="1"/>
  <c r="AD24" i="5"/>
  <c r="AA12" i="5"/>
  <c r="AB28" i="5"/>
  <c r="AC28" i="5" s="1"/>
  <c r="AB4" i="5"/>
  <c r="AC4" i="5" s="1"/>
  <c r="AD13" i="5"/>
  <c r="AA4" i="5"/>
  <c r="AA16" i="5"/>
  <c r="AB24" i="5"/>
  <c r="AC24" i="5" s="1"/>
  <c r="AA40" i="5"/>
  <c r="AB22" i="5"/>
  <c r="AC22" i="5" s="1"/>
  <c r="AD38" i="5"/>
  <c r="M7" i="5"/>
  <c r="AD7" i="5" s="1"/>
  <c r="AA7" i="5"/>
  <c r="AB7" i="5"/>
  <c r="AC7" i="5" s="1"/>
  <c r="M14" i="5"/>
  <c r="AD14" i="5" s="1"/>
  <c r="AA14" i="5"/>
  <c r="AB14" i="5"/>
  <c r="AC14" i="5" s="1"/>
  <c r="M19" i="5"/>
  <c r="AD19" i="5" s="1"/>
  <c r="AA19" i="5"/>
  <c r="AB19" i="5"/>
  <c r="AC19" i="5" s="1"/>
  <c r="M30" i="5"/>
  <c r="AD30" i="5" s="1"/>
  <c r="AB30" i="5"/>
  <c r="AC30" i="5" s="1"/>
  <c r="M33" i="5"/>
  <c r="AD33" i="5" s="1"/>
  <c r="AB33" i="5"/>
  <c r="AC33" i="5" s="1"/>
  <c r="AA33" i="5"/>
  <c r="M35" i="5"/>
  <c r="AB35" i="5"/>
  <c r="AC35" i="5" s="1"/>
  <c r="AD35" i="5"/>
  <c r="AA35" i="5"/>
  <c r="M37" i="5"/>
  <c r="AD37" i="5" s="1"/>
  <c r="AA37" i="5"/>
  <c r="AA30" i="5"/>
  <c r="M5" i="5"/>
  <c r="AD5" i="5" s="1"/>
  <c r="AB5" i="5"/>
  <c r="AC5" i="5" s="1"/>
  <c r="AA5" i="5"/>
  <c r="M15" i="5"/>
  <c r="AD15" i="5" s="1"/>
  <c r="AB15" i="5"/>
  <c r="AC15" i="5" s="1"/>
  <c r="AA15" i="5"/>
  <c r="M17" i="5"/>
  <c r="AD17" i="5"/>
  <c r="AB17" i="5"/>
  <c r="AC17" i="5" s="1"/>
  <c r="M20" i="5"/>
  <c r="AD20" i="5" s="1"/>
  <c r="AA20" i="5"/>
  <c r="AB20" i="5"/>
  <c r="AC20" i="5" s="1"/>
  <c r="M23" i="5"/>
  <c r="AD23" i="5" s="1"/>
  <c r="AB23" i="5"/>
  <c r="AC23" i="5" s="1"/>
  <c r="AA23" i="5"/>
  <c r="M27" i="5"/>
  <c r="AD27" i="5" s="1"/>
  <c r="AB27" i="5"/>
  <c r="AC27" i="5" s="1"/>
  <c r="AA27" i="5"/>
  <c r="M39" i="5"/>
  <c r="AD39" i="5" s="1"/>
  <c r="AB39" i="5"/>
  <c r="AC39" i="5" s="1"/>
  <c r="AA39" i="5"/>
  <c r="M6" i="5"/>
  <c r="AD6" i="5" s="1"/>
  <c r="M10" i="5"/>
  <c r="AD10" i="5" s="1"/>
  <c r="AB10" i="5"/>
  <c r="AC10" i="5" s="1"/>
  <c r="M21" i="5"/>
  <c r="AD21" i="5" s="1"/>
  <c r="AB21" i="5"/>
  <c r="AC21" i="5" s="1"/>
  <c r="AA21" i="5"/>
  <c r="M25" i="5"/>
  <c r="AD25" i="5" s="1"/>
  <c r="AA25" i="5"/>
  <c r="M29" i="5"/>
  <c r="AD29" i="5"/>
  <c r="AB29" i="5"/>
  <c r="AC29" i="5" s="1"/>
  <c r="M31" i="5"/>
  <c r="AD31" i="5" s="1"/>
  <c r="AA31" i="5"/>
  <c r="AB6" i="5"/>
  <c r="AC6" i="5" s="1"/>
  <c r="M11" i="5"/>
  <c r="AD11" i="5"/>
  <c r="AB11" i="5"/>
  <c r="AC11" i="5" s="1"/>
  <c r="M34" i="5"/>
  <c r="AD34" i="5" s="1"/>
  <c r="AB34" i="5"/>
  <c r="AC34" i="5" s="1"/>
  <c r="M36" i="5"/>
  <c r="AD36" i="5" s="1"/>
  <c r="AA36" i="5"/>
  <c r="AA11" i="5"/>
  <c r="AB25" i="5"/>
  <c r="AC25" i="5" s="1"/>
  <c r="M40" i="5"/>
  <c r="AD40" i="5" s="1"/>
  <c r="AA13" i="5"/>
  <c r="AB38" i="5"/>
  <c r="AC38" i="5" s="1"/>
  <c r="AB32" i="5"/>
  <c r="AC32" i="5" s="1"/>
  <c r="AB26" i="5"/>
  <c r="AC26" i="5" s="1"/>
  <c r="AD9" i="5"/>
  <c r="AD12" i="5"/>
  <c r="AA38" i="5"/>
  <c r="AA32" i="5"/>
  <c r="AA26" i="5"/>
  <c r="AB9" i="5"/>
  <c r="AC9" i="5" s="1"/>
  <c r="AD28" i="5"/>
  <c r="AD22" i="5"/>
  <c r="AD16" i="5"/>
  <c r="AD4" i="5"/>
  <c r="AC19" i="3"/>
  <c r="Z20" i="3"/>
  <c r="Z31" i="3"/>
  <c r="AA34" i="3"/>
  <c r="AB34" i="3" s="1"/>
  <c r="AB6" i="3"/>
  <c r="Z19" i="3"/>
  <c r="AA29" i="3"/>
  <c r="AB29" i="3" s="1"/>
  <c r="AC31" i="3"/>
  <c r="AC20" i="3"/>
  <c r="AA11" i="3"/>
  <c r="AB11" i="3" s="1"/>
  <c r="Z32" i="3"/>
  <c r="Z27" i="3"/>
  <c r="Z21" i="3"/>
  <c r="Z15" i="3"/>
  <c r="Z9" i="3"/>
  <c r="AA30" i="3"/>
  <c r="AB30" i="3" s="1"/>
  <c r="AA25" i="3"/>
  <c r="AB25" i="3" s="1"/>
  <c r="AA19" i="3"/>
  <c r="AB19" i="3" s="1"/>
  <c r="AA13" i="3"/>
  <c r="AB13" i="3" s="1"/>
  <c r="AA7" i="3"/>
  <c r="AB7" i="3" s="1"/>
  <c r="AC27" i="3"/>
  <c r="AC21" i="3"/>
  <c r="AC15" i="3"/>
  <c r="AC9" i="3"/>
  <c r="Z30" i="3"/>
  <c r="AC30" i="3"/>
  <c r="AC13" i="3"/>
  <c r="Z26" i="3"/>
  <c r="Z7" i="3"/>
  <c r="AA5" i="3"/>
  <c r="AB5" i="3" s="1"/>
  <c r="AC7" i="3"/>
  <c r="Z29" i="3"/>
  <c r="Z24" i="3"/>
  <c r="Z18" i="3"/>
  <c r="Z12" i="3"/>
  <c r="AA33" i="3"/>
  <c r="AB33" i="3" s="1"/>
  <c r="AA22" i="3"/>
  <c r="AB22" i="3" s="1"/>
  <c r="AA16" i="3"/>
  <c r="AB16" i="3" s="1"/>
  <c r="AA10" i="3"/>
  <c r="AB10" i="3" s="1"/>
  <c r="AC29" i="3"/>
  <c r="AC24" i="3"/>
  <c r="AC18" i="3"/>
  <c r="AC12" i="3"/>
  <c r="AA12" i="3"/>
  <c r="AB12" i="3" s="1"/>
  <c r="AA23" i="3"/>
  <c r="AB23" i="3" s="1"/>
  <c r="Z34" i="3"/>
  <c r="Z28" i="3"/>
  <c r="Z23" i="3"/>
  <c r="Z17" i="3"/>
  <c r="Z11" i="3"/>
  <c r="Z5" i="3"/>
  <c r="AA32" i="3"/>
  <c r="AB32" i="3" s="1"/>
  <c r="AA27" i="3"/>
  <c r="AB27" i="3" s="1"/>
  <c r="AA21" i="3"/>
  <c r="AB21" i="3" s="1"/>
  <c r="AA15" i="3"/>
  <c r="AB15" i="3" s="1"/>
  <c r="AA9" i="3"/>
  <c r="AB9" i="3" s="1"/>
  <c r="AC34" i="3"/>
  <c r="AC28" i="3"/>
  <c r="AC23" i="3"/>
  <c r="AC17" i="3"/>
  <c r="AC11" i="3"/>
  <c r="AC5" i="3"/>
  <c r="AA18" i="3"/>
  <c r="AB18" i="3" s="1"/>
  <c r="Z25" i="3"/>
  <c r="Z13" i="3"/>
  <c r="AA28" i="3"/>
  <c r="AB28" i="3" s="1"/>
  <c r="Z33" i="3"/>
  <c r="Z22" i="3"/>
  <c r="Z16" i="3"/>
  <c r="Z10" i="3"/>
  <c r="AA31" i="3"/>
  <c r="AB31" i="3" s="1"/>
  <c r="AA26" i="3"/>
  <c r="AB26" i="3" s="1"/>
  <c r="AA20" i="3"/>
  <c r="AB20" i="3" s="1"/>
  <c r="AA14" i="3"/>
  <c r="AB14" i="3" s="1"/>
  <c r="AC33" i="3"/>
  <c r="AC22" i="3"/>
  <c r="AC16" i="3"/>
  <c r="AC10" i="3"/>
  <c r="U22" i="5"/>
  <c r="AA22" i="5" s="1"/>
  <c r="L32" i="3"/>
  <c r="AC32" i="3" s="1"/>
  <c r="L25" i="3"/>
  <c r="AC25" i="3" s="1"/>
  <c r="L26" i="3"/>
  <c r="AC26" i="3" s="1"/>
  <c r="L24" i="3"/>
  <c r="L50" i="6"/>
  <c r="K34" i="4"/>
  <c r="T34" i="4"/>
  <c r="L100" i="5"/>
  <c r="U100" i="5"/>
  <c r="AB100" i="5" l="1"/>
  <c r="AC100" i="5" s="1"/>
  <c r="AA100" i="5"/>
  <c r="L84" i="5"/>
  <c r="AB84" i="5" l="1"/>
  <c r="AC84" i="5" s="1"/>
  <c r="M84" i="5"/>
  <c r="AD84" i="5" s="1"/>
  <c r="U84" i="5"/>
  <c r="AA84" i="5" s="1"/>
  <c r="K33" i="4" l="1"/>
  <c r="L34" i="4"/>
  <c r="K60" i="3"/>
  <c r="K39" i="3"/>
  <c r="AA39" i="3" l="1"/>
  <c r="AB39" i="3" s="1"/>
  <c r="AA60" i="3"/>
  <c r="AB60" i="3" s="1"/>
  <c r="T39" i="3"/>
  <c r="Z39" i="3" s="1"/>
  <c r="L39" i="3"/>
  <c r="AC39" i="3" s="1"/>
  <c r="U50" i="6"/>
  <c r="M50" i="6"/>
  <c r="L49" i="6"/>
  <c r="M49" i="6" s="1"/>
  <c r="L48" i="6"/>
  <c r="L47" i="6"/>
  <c r="L46" i="6"/>
  <c r="L45" i="6"/>
  <c r="L44" i="6"/>
  <c r="L43" i="6"/>
  <c r="L42" i="6"/>
  <c r="L41" i="6"/>
  <c r="M41" i="6" s="1"/>
  <c r="L40" i="6"/>
  <c r="L39" i="6"/>
  <c r="L38" i="6"/>
  <c r="L37" i="6"/>
  <c r="L36" i="6"/>
  <c r="L35" i="6"/>
  <c r="L34" i="6"/>
  <c r="L33" i="6"/>
  <c r="M33" i="6" s="1"/>
  <c r="L32" i="6"/>
  <c r="U31" i="6"/>
  <c r="L31" i="6"/>
  <c r="M31" i="6" s="1"/>
  <c r="L30" i="6"/>
  <c r="L29" i="6"/>
  <c r="U29" i="6" s="1"/>
  <c r="L28" i="6"/>
  <c r="L27" i="6"/>
  <c r="U27" i="6" s="1"/>
  <c r="L26" i="6"/>
  <c r="L25" i="6"/>
  <c r="M25" i="6" s="1"/>
  <c r="L24" i="6"/>
  <c r="L23" i="6"/>
  <c r="U23" i="6" s="1"/>
  <c r="L22" i="6"/>
  <c r="L21" i="6"/>
  <c r="L20" i="6"/>
  <c r="U20" i="6" s="1"/>
  <c r="L19" i="6"/>
  <c r="L18" i="6"/>
  <c r="U18" i="6" s="1"/>
  <c r="L17" i="6"/>
  <c r="U17" i="6" s="1"/>
  <c r="L16" i="6"/>
  <c r="M16" i="6" s="1"/>
  <c r="L15" i="6"/>
  <c r="L14" i="6"/>
  <c r="M14" i="6" s="1"/>
  <c r="L13" i="6"/>
  <c r="L12" i="6"/>
  <c r="L11" i="6"/>
  <c r="L10" i="6"/>
  <c r="U10" i="6" s="1"/>
  <c r="L9" i="6"/>
  <c r="L8" i="6"/>
  <c r="U8" i="6" s="1"/>
  <c r="L7" i="6"/>
  <c r="L6" i="6"/>
  <c r="L5" i="6"/>
  <c r="U5" i="6" s="1"/>
  <c r="L4" i="6"/>
  <c r="M4" i="6" s="1"/>
  <c r="L3" i="6"/>
  <c r="U3" i="6" s="1"/>
  <c r="M100" i="5"/>
  <c r="AD100" i="5" s="1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AB42" i="5" l="1"/>
  <c r="AC42" i="5" s="1"/>
  <c r="AA48" i="5"/>
  <c r="AB48" i="5"/>
  <c r="AC48" i="5" s="1"/>
  <c r="M54" i="5"/>
  <c r="AD54" i="5" s="1"/>
  <c r="AB54" i="5"/>
  <c r="AC54" i="5" s="1"/>
  <c r="AB60" i="5"/>
  <c r="AC60" i="5" s="1"/>
  <c r="AB66" i="5"/>
  <c r="AC66" i="5" s="1"/>
  <c r="AD72" i="5"/>
  <c r="AB72" i="5"/>
  <c r="AC72" i="5" s="1"/>
  <c r="AB78" i="5"/>
  <c r="AC78" i="5" s="1"/>
  <c r="AA85" i="5"/>
  <c r="AB85" i="5"/>
  <c r="AC85" i="5" s="1"/>
  <c r="AB91" i="5"/>
  <c r="AC91" i="5" s="1"/>
  <c r="U97" i="5"/>
  <c r="AA97" i="5" s="1"/>
  <c r="AB97" i="5"/>
  <c r="AC97" i="5" s="1"/>
  <c r="AD97" i="5"/>
  <c r="AA43" i="5"/>
  <c r="AB43" i="5"/>
  <c r="AC43" i="5" s="1"/>
  <c r="AB49" i="5"/>
  <c r="AC49" i="5" s="1"/>
  <c r="U55" i="5"/>
  <c r="AA55" i="5"/>
  <c r="AB55" i="5"/>
  <c r="AC55" i="5" s="1"/>
  <c r="AA61" i="5"/>
  <c r="AB61" i="5"/>
  <c r="AC61" i="5" s="1"/>
  <c r="U67" i="5"/>
  <c r="AA67" i="5" s="1"/>
  <c r="AB67" i="5"/>
  <c r="AC67" i="5" s="1"/>
  <c r="U73" i="5"/>
  <c r="AA73" i="5" s="1"/>
  <c r="AB73" i="5"/>
  <c r="AC73" i="5" s="1"/>
  <c r="M79" i="5"/>
  <c r="AD79" i="5" s="1"/>
  <c r="AA79" i="5"/>
  <c r="AB79" i="5"/>
  <c r="AC79" i="5" s="1"/>
  <c r="AB86" i="5"/>
  <c r="AC86" i="5" s="1"/>
  <c r="U92" i="5"/>
  <c r="AA92" i="5" s="1"/>
  <c r="AB92" i="5"/>
  <c r="AC92" i="5" s="1"/>
  <c r="AB98" i="5"/>
  <c r="AC98" i="5" s="1"/>
  <c r="AB44" i="5"/>
  <c r="AC44" i="5" s="1"/>
  <c r="U50" i="5"/>
  <c r="AA50" i="5" s="1"/>
  <c r="AB50" i="5"/>
  <c r="AC50" i="5" s="1"/>
  <c r="AB56" i="5"/>
  <c r="AC56" i="5" s="1"/>
  <c r="AB62" i="5"/>
  <c r="AC62" i="5" s="1"/>
  <c r="AB68" i="5"/>
  <c r="AC68" i="5" s="1"/>
  <c r="AB74" i="5"/>
  <c r="AC74" i="5" s="1"/>
  <c r="AB80" i="5"/>
  <c r="AC80" i="5" s="1"/>
  <c r="AB87" i="5"/>
  <c r="AC87" i="5" s="1"/>
  <c r="U93" i="5"/>
  <c r="AA93" i="5" s="1"/>
  <c r="AB93" i="5"/>
  <c r="AC93" i="5" s="1"/>
  <c r="M99" i="5"/>
  <c r="AD99" i="5" s="1"/>
  <c r="AB99" i="5"/>
  <c r="AC99" i="5" s="1"/>
  <c r="AB45" i="5"/>
  <c r="AC45" i="5" s="1"/>
  <c r="U51" i="5"/>
  <c r="AA51" i="5" s="1"/>
  <c r="AB51" i="5"/>
  <c r="AC51" i="5" s="1"/>
  <c r="M57" i="5"/>
  <c r="AD57" i="5" s="1"/>
  <c r="AB57" i="5"/>
  <c r="AC57" i="5" s="1"/>
  <c r="AB63" i="5"/>
  <c r="AC63" i="5" s="1"/>
  <c r="AA63" i="5"/>
  <c r="AB69" i="5"/>
  <c r="AC69" i="5" s="1"/>
  <c r="U75" i="5"/>
  <c r="AA75" i="5" s="1"/>
  <c r="AB75" i="5"/>
  <c r="AC75" i="5" s="1"/>
  <c r="M81" i="5"/>
  <c r="AD81" i="5" s="1"/>
  <c r="AB81" i="5"/>
  <c r="AC81" i="5" s="1"/>
  <c r="AA81" i="5"/>
  <c r="AB88" i="5"/>
  <c r="AC88" i="5" s="1"/>
  <c r="U94" i="5"/>
  <c r="AA94" i="5" s="1"/>
  <c r="AB94" i="5"/>
  <c r="AC94" i="5" s="1"/>
  <c r="U46" i="5"/>
  <c r="AB46" i="5"/>
  <c r="AC46" i="5" s="1"/>
  <c r="AA46" i="5"/>
  <c r="AB52" i="5"/>
  <c r="AC52" i="5" s="1"/>
  <c r="U58" i="5"/>
  <c r="AB58" i="5"/>
  <c r="AC58" i="5" s="1"/>
  <c r="AA58" i="5"/>
  <c r="M64" i="5"/>
  <c r="AD64" i="5" s="1"/>
  <c r="AB64" i="5"/>
  <c r="AC64" i="5" s="1"/>
  <c r="AB70" i="5"/>
  <c r="AC70" i="5" s="1"/>
  <c r="U76" i="5"/>
  <c r="AA76" i="5" s="1"/>
  <c r="AB76" i="5"/>
  <c r="AC76" i="5" s="1"/>
  <c r="AB82" i="5"/>
  <c r="AC82" i="5" s="1"/>
  <c r="AA82" i="5"/>
  <c r="M89" i="5"/>
  <c r="AD89" i="5" s="1"/>
  <c r="AB89" i="5"/>
  <c r="AC89" i="5" s="1"/>
  <c r="AA89" i="5"/>
  <c r="AA95" i="5"/>
  <c r="AB95" i="5"/>
  <c r="AC95" i="5" s="1"/>
  <c r="AB41" i="5"/>
  <c r="AC41" i="5" s="1"/>
  <c r="AB47" i="5"/>
  <c r="AC47" i="5" s="1"/>
  <c r="AA47" i="5"/>
  <c r="AB53" i="5"/>
  <c r="AC53" i="5" s="1"/>
  <c r="AA53" i="5"/>
  <c r="U59" i="5"/>
  <c r="AA59" i="5" s="1"/>
  <c r="AB59" i="5"/>
  <c r="AC59" i="5" s="1"/>
  <c r="AB65" i="5"/>
  <c r="AC65" i="5" s="1"/>
  <c r="AA65" i="5"/>
  <c r="U71" i="5"/>
  <c r="AA71" i="5" s="1"/>
  <c r="AB71" i="5"/>
  <c r="AC71" i="5" s="1"/>
  <c r="AB77" i="5"/>
  <c r="AC77" i="5" s="1"/>
  <c r="AB83" i="5"/>
  <c r="AC83" i="5" s="1"/>
  <c r="AB90" i="5"/>
  <c r="AC90" i="5" s="1"/>
  <c r="AA96" i="5"/>
  <c r="AB96" i="5"/>
  <c r="AC96" i="5" s="1"/>
  <c r="U25" i="6"/>
  <c r="U99" i="5"/>
  <c r="AA99" i="5" s="1"/>
  <c r="M51" i="5"/>
  <c r="AD51" i="5" s="1"/>
  <c r="M23" i="6"/>
  <c r="AD23" i="6" s="1"/>
  <c r="M29" i="6"/>
  <c r="U14" i="6"/>
  <c r="AA14" i="6" s="1"/>
  <c r="M27" i="6"/>
  <c r="AD27" i="6" s="1"/>
  <c r="AB11" i="6"/>
  <c r="AC11" i="6" s="1"/>
  <c r="AA11" i="6"/>
  <c r="M21" i="6"/>
  <c r="AD21" i="6"/>
  <c r="AB21" i="6"/>
  <c r="AC21" i="6" s="1"/>
  <c r="U45" i="6"/>
  <c r="AA45" i="6" s="1"/>
  <c r="AD45" i="6"/>
  <c r="AB45" i="6"/>
  <c r="AC45" i="6" s="1"/>
  <c r="U46" i="6"/>
  <c r="AA46" i="6" s="1"/>
  <c r="AB46" i="6"/>
  <c r="AC46" i="6" s="1"/>
  <c r="M7" i="6"/>
  <c r="AD7" i="6" s="1"/>
  <c r="AB7" i="6"/>
  <c r="AC7" i="6" s="1"/>
  <c r="AB15" i="6"/>
  <c r="AC15" i="6" s="1"/>
  <c r="M22" i="6"/>
  <c r="AD22" i="6" s="1"/>
  <c r="AB22" i="6"/>
  <c r="AC22" i="6" s="1"/>
  <c r="AA22" i="6"/>
  <c r="AB26" i="6"/>
  <c r="AC26" i="6" s="1"/>
  <c r="AB30" i="6"/>
  <c r="AC30" i="6" s="1"/>
  <c r="U35" i="6"/>
  <c r="AA35" i="6" s="1"/>
  <c r="AD35" i="6"/>
  <c r="AB35" i="6"/>
  <c r="AC35" i="6" s="1"/>
  <c r="M47" i="6"/>
  <c r="AD47" i="6" s="1"/>
  <c r="AA47" i="6"/>
  <c r="AB47" i="6"/>
  <c r="AC47" i="6" s="1"/>
  <c r="U7" i="6"/>
  <c r="AA7" i="6" s="1"/>
  <c r="M15" i="6"/>
  <c r="AD15" i="6" s="1"/>
  <c r="M26" i="6"/>
  <c r="AD26" i="6" s="1"/>
  <c r="AD4" i="6"/>
  <c r="AB4" i="6"/>
  <c r="AC4" i="6" s="1"/>
  <c r="AA4" i="6"/>
  <c r="M12" i="6"/>
  <c r="AD12" i="6" s="1"/>
  <c r="AA12" i="6"/>
  <c r="AB12" i="6"/>
  <c r="AC12" i="6" s="1"/>
  <c r="AB14" i="6"/>
  <c r="AC14" i="6" s="1"/>
  <c r="AD14" i="6"/>
  <c r="AD16" i="6"/>
  <c r="AB16" i="6"/>
  <c r="AC16" i="6" s="1"/>
  <c r="AA16" i="6"/>
  <c r="AB23" i="6"/>
  <c r="AC23" i="6" s="1"/>
  <c r="AA23" i="6"/>
  <c r="AB25" i="6"/>
  <c r="AC25" i="6" s="1"/>
  <c r="AA25" i="6"/>
  <c r="AD25" i="6"/>
  <c r="AB27" i="6"/>
  <c r="AC27" i="6" s="1"/>
  <c r="AA27" i="6"/>
  <c r="AD29" i="6"/>
  <c r="AB29" i="6"/>
  <c r="AC29" i="6" s="1"/>
  <c r="AA29" i="6"/>
  <c r="AD31" i="6"/>
  <c r="AB31" i="6"/>
  <c r="AC31" i="6" s="1"/>
  <c r="AA31" i="6"/>
  <c r="AD33" i="6"/>
  <c r="AB33" i="6"/>
  <c r="AC33" i="6" s="1"/>
  <c r="AA33" i="6"/>
  <c r="U38" i="6"/>
  <c r="AA38" i="6" s="1"/>
  <c r="AB38" i="6"/>
  <c r="AC38" i="6" s="1"/>
  <c r="AB41" i="6"/>
  <c r="AC41" i="6" s="1"/>
  <c r="AA41" i="6"/>
  <c r="AD41" i="6"/>
  <c r="U44" i="6"/>
  <c r="AA44" i="6" s="1"/>
  <c r="AB44" i="6"/>
  <c r="AC44" i="6" s="1"/>
  <c r="M48" i="6"/>
  <c r="AA48" i="6"/>
  <c r="AD48" i="6"/>
  <c r="AB48" i="6"/>
  <c r="AC48" i="6" s="1"/>
  <c r="M6" i="6"/>
  <c r="AD6" i="6" s="1"/>
  <c r="AB6" i="6"/>
  <c r="AC6" i="6" s="1"/>
  <c r="M9" i="6"/>
  <c r="AD9" i="6" s="1"/>
  <c r="AB9" i="6"/>
  <c r="AC9" i="6" s="1"/>
  <c r="AA9" i="6"/>
  <c r="M18" i="6"/>
  <c r="AD18" i="6"/>
  <c r="AA18" i="6"/>
  <c r="AB18" i="6"/>
  <c r="AC18" i="6" s="1"/>
  <c r="U39" i="6"/>
  <c r="AA39" i="6" s="1"/>
  <c r="AB39" i="6"/>
  <c r="AC39" i="6" s="1"/>
  <c r="U6" i="6"/>
  <c r="AA6" i="6" s="1"/>
  <c r="M11" i="6"/>
  <c r="AD11" i="6" s="1"/>
  <c r="U21" i="6"/>
  <c r="AA21" i="6" s="1"/>
  <c r="M40" i="6"/>
  <c r="AD40" i="6" s="1"/>
  <c r="AB40" i="6"/>
  <c r="AC40" i="6" s="1"/>
  <c r="AA40" i="6"/>
  <c r="AB49" i="6"/>
  <c r="AC49" i="6" s="1"/>
  <c r="AD49" i="6"/>
  <c r="AB13" i="6"/>
  <c r="AC13" i="6" s="1"/>
  <c r="M19" i="6"/>
  <c r="AD19" i="6" s="1"/>
  <c r="AB19" i="6"/>
  <c r="AC19" i="6" s="1"/>
  <c r="AB24" i="6"/>
  <c r="AC24" i="6" s="1"/>
  <c r="AB28" i="6"/>
  <c r="AC28" i="6" s="1"/>
  <c r="AB32" i="6"/>
  <c r="AC32" i="6" s="1"/>
  <c r="AD32" i="6"/>
  <c r="M3" i="6"/>
  <c r="AB10" i="6"/>
  <c r="AC10" i="6" s="1"/>
  <c r="AA10" i="6"/>
  <c r="M13" i="6"/>
  <c r="AD13" i="6" s="1"/>
  <c r="U19" i="6"/>
  <c r="AA19" i="6" s="1"/>
  <c r="M24" i="6"/>
  <c r="AD24" i="6" s="1"/>
  <c r="M28" i="6"/>
  <c r="AD28" i="6" s="1"/>
  <c r="M30" i="6"/>
  <c r="AD30" i="6" s="1"/>
  <c r="M32" i="6"/>
  <c r="U36" i="6"/>
  <c r="AA36" i="6" s="1"/>
  <c r="AB36" i="6"/>
  <c r="AC36" i="6" s="1"/>
  <c r="U42" i="6"/>
  <c r="AA42" i="6" s="1"/>
  <c r="AB42" i="6"/>
  <c r="AC42" i="6" s="1"/>
  <c r="U49" i="6"/>
  <c r="AA49" i="6" s="1"/>
  <c r="M5" i="6"/>
  <c r="AD5" i="6"/>
  <c r="AB5" i="6"/>
  <c r="AC5" i="6" s="1"/>
  <c r="AA5" i="6"/>
  <c r="M8" i="6"/>
  <c r="AD8" i="6" s="1"/>
  <c r="AB8" i="6"/>
  <c r="AC8" i="6" s="1"/>
  <c r="AA8" i="6"/>
  <c r="M10" i="6"/>
  <c r="AD10" i="6" s="1"/>
  <c r="U13" i="6"/>
  <c r="AA13" i="6" s="1"/>
  <c r="U15" i="6"/>
  <c r="AA15" i="6" s="1"/>
  <c r="M17" i="6"/>
  <c r="AD17" i="6" s="1"/>
  <c r="AB17" i="6"/>
  <c r="AC17" i="6" s="1"/>
  <c r="AA17" i="6"/>
  <c r="M20" i="6"/>
  <c r="AD20" i="6"/>
  <c r="AB20" i="6"/>
  <c r="AC20" i="6" s="1"/>
  <c r="AA20" i="6"/>
  <c r="U24" i="6"/>
  <c r="AA24" i="6" s="1"/>
  <c r="U26" i="6"/>
  <c r="AA26" i="6" s="1"/>
  <c r="U28" i="6"/>
  <c r="AA28" i="6" s="1"/>
  <c r="U30" i="6"/>
  <c r="AA30" i="6" s="1"/>
  <c r="U32" i="6"/>
  <c r="AA32" i="6" s="1"/>
  <c r="M34" i="6"/>
  <c r="AD34" i="6"/>
  <c r="AB34" i="6"/>
  <c r="AC34" i="6" s="1"/>
  <c r="AA34" i="6"/>
  <c r="U37" i="6"/>
  <c r="AA37" i="6" s="1"/>
  <c r="AB37" i="6"/>
  <c r="AC37" i="6" s="1"/>
  <c r="U43" i="6"/>
  <c r="AA43" i="6" s="1"/>
  <c r="AB43" i="6"/>
  <c r="AC43" i="6" s="1"/>
  <c r="AD50" i="6"/>
  <c r="AB50" i="6"/>
  <c r="AC50" i="6" s="1"/>
  <c r="AA50" i="6"/>
  <c r="M97" i="5"/>
  <c r="M59" i="5"/>
  <c r="AD59" i="5" s="1"/>
  <c r="M65" i="5"/>
  <c r="AD65" i="5" s="1"/>
  <c r="M55" i="5"/>
  <c r="AD55" i="5" s="1"/>
  <c r="M52" i="5"/>
  <c r="AD52" i="5" s="1"/>
  <c r="M74" i="5"/>
  <c r="AD74" i="5" s="1"/>
  <c r="U74" i="5"/>
  <c r="AA74" i="5" s="1"/>
  <c r="M47" i="5"/>
  <c r="AD47" i="5" s="1"/>
  <c r="U69" i="5"/>
  <c r="AA69" i="5" s="1"/>
  <c r="U62" i="5"/>
  <c r="AA62" i="5" s="1"/>
  <c r="M70" i="5"/>
  <c r="AD70" i="5" s="1"/>
  <c r="U70" i="5"/>
  <c r="AA70" i="5" s="1"/>
  <c r="M91" i="5"/>
  <c r="AD91" i="5" s="1"/>
  <c r="M63" i="5"/>
  <c r="AD63" i="5" s="1"/>
  <c r="U86" i="5"/>
  <c r="AA86" i="5" s="1"/>
  <c r="U91" i="5"/>
  <c r="AA91" i="5" s="1"/>
  <c r="M60" i="5"/>
  <c r="AD60" i="5" s="1"/>
  <c r="M87" i="5"/>
  <c r="AD87" i="5" s="1"/>
  <c r="U87" i="5"/>
  <c r="AA87" i="5" s="1"/>
  <c r="U56" i="5"/>
  <c r="AA56" i="5" s="1"/>
  <c r="U83" i="5"/>
  <c r="AA83" i="5" s="1"/>
  <c r="U53" i="5"/>
  <c r="M66" i="5"/>
  <c r="AD66" i="5" s="1"/>
  <c r="U66" i="5"/>
  <c r="AA66" i="5" s="1"/>
  <c r="U98" i="5"/>
  <c r="AA98" i="5" s="1"/>
  <c r="M98" i="5"/>
  <c r="AD98" i="5" s="1"/>
  <c r="U41" i="5"/>
  <c r="AA41" i="5" s="1"/>
  <c r="U44" i="5"/>
  <c r="AA44" i="5" s="1"/>
  <c r="M49" i="5"/>
  <c r="AD49" i="5" s="1"/>
  <c r="M53" i="5"/>
  <c r="AD53" i="5" s="1"/>
  <c r="M61" i="5"/>
  <c r="AD61" i="5" s="1"/>
  <c r="M72" i="5"/>
  <c r="U80" i="5"/>
  <c r="AA80" i="5" s="1"/>
  <c r="M82" i="5"/>
  <c r="AD82" i="5" s="1"/>
  <c r="M85" i="5"/>
  <c r="AD85" i="5" s="1"/>
  <c r="U88" i="5"/>
  <c r="AA88" i="5" s="1"/>
  <c r="U42" i="5"/>
  <c r="AA42" i="5" s="1"/>
  <c r="M44" i="5"/>
  <c r="AD44" i="5" s="1"/>
  <c r="M68" i="5"/>
  <c r="AD68" i="5" s="1"/>
  <c r="U72" i="5"/>
  <c r="AA72" i="5" s="1"/>
  <c r="U77" i="5"/>
  <c r="AA77" i="5" s="1"/>
  <c r="M80" i="5"/>
  <c r="AD80" i="5" s="1"/>
  <c r="M43" i="5"/>
  <c r="AD43" i="5" s="1"/>
  <c r="U45" i="5"/>
  <c r="AA45" i="5" s="1"/>
  <c r="U68" i="5"/>
  <c r="AA68" i="5" s="1"/>
  <c r="M78" i="5"/>
  <c r="AD78" i="5" s="1"/>
  <c r="U78" i="5"/>
  <c r="AA78" i="5" s="1"/>
  <c r="U90" i="5"/>
  <c r="AA90" i="5" s="1"/>
  <c r="M95" i="5"/>
  <c r="AD95" i="5" s="1"/>
  <c r="M41" i="5"/>
  <c r="AD41" i="5" s="1"/>
  <c r="U49" i="5"/>
  <c r="AA49" i="5" s="1"/>
  <c r="U57" i="5"/>
  <c r="AA57" i="5" s="1"/>
  <c r="M76" i="5"/>
  <c r="AD76" i="5" s="1"/>
  <c r="M96" i="5"/>
  <c r="AD96" i="5" s="1"/>
  <c r="M46" i="5"/>
  <c r="AD46" i="5" s="1"/>
  <c r="M48" i="5"/>
  <c r="AD48" i="5" s="1"/>
  <c r="U64" i="5"/>
  <c r="AA64" i="5" s="1"/>
  <c r="U89" i="5"/>
  <c r="M36" i="6"/>
  <c r="AD36" i="6" s="1"/>
  <c r="M38" i="6"/>
  <c r="AD38" i="6" s="1"/>
  <c r="M43" i="6"/>
  <c r="AD43" i="6" s="1"/>
  <c r="M45" i="6"/>
  <c r="M35" i="6"/>
  <c r="M37" i="6"/>
  <c r="AD37" i="6" s="1"/>
  <c r="M39" i="6"/>
  <c r="AD39" i="6" s="1"/>
  <c r="M42" i="6"/>
  <c r="AD42" i="6" s="1"/>
  <c r="M44" i="6"/>
  <c r="AD44" i="6" s="1"/>
  <c r="M46" i="6"/>
  <c r="AD46" i="6" s="1"/>
  <c r="M45" i="5"/>
  <c r="AD45" i="5" s="1"/>
  <c r="M50" i="5"/>
  <c r="AD50" i="5" s="1"/>
  <c r="M56" i="5"/>
  <c r="AD56" i="5" s="1"/>
  <c r="M58" i="5"/>
  <c r="AD58" i="5" s="1"/>
  <c r="M83" i="5"/>
  <c r="AD83" i="5" s="1"/>
  <c r="M42" i="5"/>
  <c r="AD42" i="5" s="1"/>
  <c r="U52" i="5"/>
  <c r="AA52" i="5" s="1"/>
  <c r="U54" i="5"/>
  <c r="AA54" i="5" s="1"/>
  <c r="U60" i="5"/>
  <c r="AA60" i="5" s="1"/>
  <c r="M62" i="5"/>
  <c r="AD62" i="5" s="1"/>
  <c r="M67" i="5"/>
  <c r="AD67" i="5" s="1"/>
  <c r="M69" i="5"/>
  <c r="AD69" i="5" s="1"/>
  <c r="M71" i="5"/>
  <c r="AD71" i="5" s="1"/>
  <c r="M73" i="5"/>
  <c r="AD73" i="5" s="1"/>
  <c r="M75" i="5"/>
  <c r="AD75" i="5" s="1"/>
  <c r="M77" i="5"/>
  <c r="AD77" i="5" s="1"/>
  <c r="M86" i="5"/>
  <c r="AD86" i="5" s="1"/>
  <c r="M88" i="5"/>
  <c r="AD88" i="5" s="1"/>
  <c r="M90" i="5"/>
  <c r="AD90" i="5" s="1"/>
  <c r="M92" i="5"/>
  <c r="AD92" i="5" s="1"/>
  <c r="M94" i="5"/>
  <c r="AD94" i="5" s="1"/>
  <c r="M93" i="5"/>
  <c r="AD93" i="5" s="1"/>
  <c r="L33" i="4" l="1"/>
  <c r="K32" i="4"/>
  <c r="L32" i="4" s="1"/>
  <c r="K31" i="4"/>
  <c r="T31" i="4" s="1"/>
  <c r="K30" i="4"/>
  <c r="T30" i="4" s="1"/>
  <c r="K29" i="4"/>
  <c r="T29" i="4" s="1"/>
  <c r="K28" i="4"/>
  <c r="T28" i="4" s="1"/>
  <c r="K27" i="4"/>
  <c r="T27" i="4" s="1"/>
  <c r="K26" i="4"/>
  <c r="T26" i="4" s="1"/>
  <c r="K25" i="4"/>
  <c r="L25" i="4" s="1"/>
  <c r="K24" i="4"/>
  <c r="L24" i="4" s="1"/>
  <c r="K23" i="4"/>
  <c r="L23" i="4" s="1"/>
  <c r="K22" i="4"/>
  <c r="L22" i="4" s="1"/>
  <c r="K21" i="4"/>
  <c r="L21" i="4" s="1"/>
  <c r="K20" i="4"/>
  <c r="T20" i="4" s="1"/>
  <c r="K19" i="4"/>
  <c r="L19" i="4" s="1"/>
  <c r="K18" i="4"/>
  <c r="L18" i="4" s="1"/>
  <c r="K17" i="4"/>
  <c r="T17" i="4" s="1"/>
  <c r="K16" i="4"/>
  <c r="L16" i="4" s="1"/>
  <c r="K15" i="4"/>
  <c r="L15" i="4" s="1"/>
  <c r="K14" i="4"/>
  <c r="T14" i="4" s="1"/>
  <c r="K13" i="4"/>
  <c r="L13" i="4" s="1"/>
  <c r="K12" i="4"/>
  <c r="T12" i="4" s="1"/>
  <c r="K11" i="4"/>
  <c r="T11" i="4" s="1"/>
  <c r="K10" i="4"/>
  <c r="L10" i="4" s="1"/>
  <c r="K9" i="4"/>
  <c r="L9" i="4" s="1"/>
  <c r="K8" i="4"/>
  <c r="T8" i="4" s="1"/>
  <c r="K7" i="4"/>
  <c r="L7" i="4" s="1"/>
  <c r="K6" i="4"/>
  <c r="L6" i="4" s="1"/>
  <c r="K5" i="4"/>
  <c r="T5" i="4" s="1"/>
  <c r="K4" i="4"/>
  <c r="L4" i="4" s="1"/>
  <c r="K3" i="4"/>
  <c r="L3" i="4" s="1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8" i="3"/>
  <c r="K37" i="3"/>
  <c r="K36" i="3"/>
  <c r="K35" i="3"/>
  <c r="AA35" i="3" l="1"/>
  <c r="AB35" i="3" s="1"/>
  <c r="Z42" i="3"/>
  <c r="AA42" i="3"/>
  <c r="AB42" i="3" s="1"/>
  <c r="Z48" i="3"/>
  <c r="AC48" i="3"/>
  <c r="AA48" i="3"/>
  <c r="AB48" i="3" s="1"/>
  <c r="Z54" i="3"/>
  <c r="AA54" i="3"/>
  <c r="AB54" i="3" s="1"/>
  <c r="T36" i="3"/>
  <c r="Z36" i="3"/>
  <c r="AA36" i="3"/>
  <c r="AB36" i="3" s="1"/>
  <c r="AA43" i="3"/>
  <c r="AB43" i="3" s="1"/>
  <c r="Z43" i="3"/>
  <c r="AA49" i="3"/>
  <c r="AB49" i="3" s="1"/>
  <c r="Z49" i="3"/>
  <c r="AA55" i="3"/>
  <c r="AB55" i="3" s="1"/>
  <c r="Z55" i="3"/>
  <c r="AA44" i="3"/>
  <c r="AB44" i="3" s="1"/>
  <c r="AA56" i="3"/>
  <c r="AB56" i="3" s="1"/>
  <c r="AA38" i="3"/>
  <c r="AB38" i="3" s="1"/>
  <c r="Z38" i="3"/>
  <c r="AC51" i="3"/>
  <c r="Z51" i="3"/>
  <c r="AA51" i="3"/>
  <c r="AB51" i="3" s="1"/>
  <c r="AC46" i="3"/>
  <c r="AA46" i="3"/>
  <c r="AB46" i="3" s="1"/>
  <c r="AC58" i="3"/>
  <c r="AA58" i="3"/>
  <c r="AB58" i="3" s="1"/>
  <c r="AA37" i="3"/>
  <c r="AB37" i="3" s="1"/>
  <c r="Z37" i="3"/>
  <c r="AA50" i="3"/>
  <c r="AB50" i="3" s="1"/>
  <c r="AA45" i="3"/>
  <c r="AB45" i="3" s="1"/>
  <c r="T57" i="3"/>
  <c r="Z57" i="3" s="1"/>
  <c r="AA57" i="3"/>
  <c r="AB57" i="3" s="1"/>
  <c r="AA40" i="3"/>
  <c r="AB40" i="3" s="1"/>
  <c r="AA52" i="3"/>
  <c r="AB52" i="3" s="1"/>
  <c r="Z52" i="3"/>
  <c r="AA41" i="3"/>
  <c r="AB41" i="3" s="1"/>
  <c r="AA47" i="3"/>
  <c r="AB47" i="3" s="1"/>
  <c r="AA53" i="3"/>
  <c r="AB53" i="3" s="1"/>
  <c r="AA59" i="3"/>
  <c r="AB59" i="3" s="1"/>
  <c r="T40" i="3"/>
  <c r="Z40" i="3" s="1"/>
  <c r="T7" i="4"/>
  <c r="T16" i="4"/>
  <c r="Z16" i="4" s="1"/>
  <c r="L42" i="3"/>
  <c r="AC42" i="3" s="1"/>
  <c r="T49" i="3"/>
  <c r="T56" i="3"/>
  <c r="Z56" i="3" s="1"/>
  <c r="T60" i="3"/>
  <c r="Z60" i="3" s="1"/>
  <c r="L37" i="3"/>
  <c r="AC37" i="3" s="1"/>
  <c r="T41" i="3"/>
  <c r="Z41" i="3" s="1"/>
  <c r="T44" i="3"/>
  <c r="Z44" i="3" s="1"/>
  <c r="T50" i="3"/>
  <c r="Z50" i="3" s="1"/>
  <c r="L52" i="3"/>
  <c r="AC52" i="3" s="1"/>
  <c r="L57" i="3"/>
  <c r="AC57" i="3" s="1"/>
  <c r="T45" i="3"/>
  <c r="Z45" i="3" s="1"/>
  <c r="T35" i="3"/>
  <c r="Z35" i="3" s="1"/>
  <c r="T42" i="3"/>
  <c r="T58" i="3"/>
  <c r="Z58" i="3" s="1"/>
  <c r="L43" i="3"/>
  <c r="AC43" i="3" s="1"/>
  <c r="T47" i="3"/>
  <c r="Z47" i="3" s="1"/>
  <c r="T53" i="3"/>
  <c r="Z53" i="3" s="1"/>
  <c r="L59" i="3"/>
  <c r="AC59" i="3" s="1"/>
  <c r="L51" i="3"/>
  <c r="L55" i="3"/>
  <c r="AC55" i="3" s="1"/>
  <c r="T46" i="3"/>
  <c r="Z46" i="3" s="1"/>
  <c r="L36" i="3"/>
  <c r="AC36" i="3" s="1"/>
  <c r="L38" i="3"/>
  <c r="AC38" i="3" s="1"/>
  <c r="L40" i="3"/>
  <c r="AC40" i="3" s="1"/>
  <c r="T48" i="3"/>
  <c r="L54" i="3"/>
  <c r="AC54" i="3" s="1"/>
  <c r="T59" i="3"/>
  <c r="Z59" i="3" s="1"/>
  <c r="L12" i="4"/>
  <c r="L26" i="4"/>
  <c r="L28" i="4"/>
  <c r="L30" i="4"/>
  <c r="L17" i="4"/>
  <c r="T32" i="4"/>
  <c r="L8" i="4"/>
  <c r="L14" i="4"/>
  <c r="L20" i="4"/>
  <c r="L5" i="4"/>
  <c r="L11" i="4"/>
  <c r="L27" i="4"/>
  <c r="L29" i="4"/>
  <c r="L31" i="4"/>
  <c r="L44" i="3"/>
  <c r="AC44" i="3" s="1"/>
  <c r="L46" i="3"/>
  <c r="L48" i="3"/>
  <c r="L50" i="3"/>
  <c r="AC50" i="3" s="1"/>
  <c r="L41" i="3"/>
  <c r="AC41" i="3" s="1"/>
  <c r="L53" i="3"/>
  <c r="AC53" i="3" s="1"/>
  <c r="L56" i="3"/>
  <c r="AC56" i="3" s="1"/>
  <c r="L58" i="3"/>
  <c r="L60" i="3"/>
  <c r="AC60" i="3" s="1"/>
  <c r="L35" i="3"/>
  <c r="AC35" i="3" s="1"/>
  <c r="L45" i="3"/>
  <c r="AC45" i="3" s="1"/>
  <c r="L47" i="3"/>
  <c r="AC47" i="3" s="1"/>
  <c r="L49" i="3"/>
  <c r="AC49" i="3" s="1"/>
  <c r="Z4" i="4"/>
  <c r="Z6" i="4"/>
  <c r="Z8" i="4"/>
  <c r="Z10" i="4"/>
  <c r="Z12" i="4"/>
  <c r="Z14" i="4"/>
  <c r="Z18" i="4"/>
  <c r="Z20" i="4"/>
  <c r="Z22" i="4"/>
  <c r="Z24" i="4"/>
  <c r="Z26" i="4"/>
  <c r="Z28" i="4"/>
  <c r="Z30" i="4"/>
  <c r="Z32" i="4"/>
  <c r="Z33" i="4"/>
  <c r="Z31" i="4" l="1"/>
  <c r="Z29" i="4"/>
  <c r="Z27" i="4"/>
  <c r="Z25" i="4"/>
  <c r="Z23" i="4"/>
  <c r="Z21" i="4"/>
  <c r="Z19" i="4"/>
  <c r="Z17" i="4"/>
  <c r="Z15" i="4"/>
  <c r="Z13" i="4"/>
  <c r="Z11" i="4"/>
  <c r="Z9" i="4"/>
  <c r="Z7" i="4"/>
  <c r="Z5" i="4"/>
  <c r="Z3" i="4"/>
  <c r="M3" i="3"/>
  <c r="L3" i="3"/>
  <c r="AC4" i="4" l="1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A4" i="4"/>
  <c r="AB4" i="4" s="1"/>
  <c r="AA5" i="4"/>
  <c r="AB5" i="4" s="1"/>
  <c r="AA6" i="4"/>
  <c r="AB6" i="4" s="1"/>
  <c r="AA7" i="4"/>
  <c r="AB7" i="4" s="1"/>
  <c r="AA8" i="4"/>
  <c r="AB8" i="4" s="1"/>
  <c r="AA9" i="4"/>
  <c r="AB9" i="4" s="1"/>
  <c r="AA10" i="4"/>
  <c r="AB10" i="4" s="1"/>
  <c r="AA11" i="4"/>
  <c r="AB11" i="4" s="1"/>
  <c r="AA12" i="4"/>
  <c r="AB12" i="4" s="1"/>
  <c r="AA13" i="4"/>
  <c r="AB13" i="4" s="1"/>
  <c r="AA14" i="4"/>
  <c r="AB14" i="4" s="1"/>
  <c r="AA15" i="4"/>
  <c r="AB15" i="4" s="1"/>
  <c r="AA16" i="4"/>
  <c r="AB16" i="4" s="1"/>
  <c r="AA17" i="4"/>
  <c r="AB17" i="4" s="1"/>
  <c r="AA18" i="4"/>
  <c r="AB18" i="4" s="1"/>
  <c r="AA19" i="4"/>
  <c r="AB19" i="4" s="1"/>
  <c r="AA20" i="4"/>
  <c r="AB20" i="4" s="1"/>
  <c r="AA21" i="4"/>
  <c r="AB21" i="4" s="1"/>
  <c r="AA22" i="4"/>
  <c r="AB22" i="4" s="1"/>
  <c r="AA23" i="4"/>
  <c r="AB23" i="4" s="1"/>
  <c r="AA24" i="4"/>
  <c r="AB24" i="4" s="1"/>
  <c r="AA25" i="4"/>
  <c r="AB25" i="4" s="1"/>
  <c r="AA26" i="4"/>
  <c r="AB26" i="4" s="1"/>
  <c r="AA27" i="4"/>
  <c r="AB27" i="4" s="1"/>
  <c r="AA28" i="4"/>
  <c r="AB28" i="4" s="1"/>
  <c r="AA29" i="4"/>
  <c r="AB29" i="4" s="1"/>
  <c r="AA30" i="4"/>
  <c r="AB30" i="4" s="1"/>
  <c r="AA31" i="4"/>
  <c r="AB31" i="4" s="1"/>
  <c r="AA32" i="4"/>
  <c r="AB32" i="4" s="1"/>
  <c r="AA33" i="4"/>
  <c r="AB33" i="4" s="1"/>
  <c r="AA34" i="4"/>
  <c r="AB34" i="4" s="1"/>
  <c r="Z34" i="4"/>
  <c r="AD3" i="5"/>
  <c r="AB3" i="5"/>
  <c r="AC3" i="5" s="1"/>
  <c r="AA3" i="5"/>
  <c r="B19" i="7" l="1"/>
  <c r="B18" i="7"/>
  <c r="B15" i="7"/>
  <c r="B13" i="7"/>
  <c r="B17" i="7"/>
  <c r="B14" i="7"/>
  <c r="B27" i="7"/>
  <c r="P12" i="7" l="1"/>
  <c r="Q12" i="7"/>
  <c r="P13" i="7"/>
  <c r="Q13" i="7"/>
  <c r="P14" i="7"/>
  <c r="Q14" i="7"/>
  <c r="P15" i="7"/>
  <c r="Q15" i="7"/>
  <c r="P16" i="7"/>
  <c r="Q16" i="7"/>
  <c r="P17" i="7"/>
  <c r="Q17" i="7"/>
  <c r="P18" i="7"/>
  <c r="Q18" i="7"/>
  <c r="P19" i="7"/>
  <c r="Q19" i="7"/>
  <c r="P24" i="7"/>
  <c r="Q24" i="7"/>
  <c r="P25" i="7"/>
  <c r="Q25" i="7"/>
  <c r="P26" i="7"/>
  <c r="Q26" i="7"/>
  <c r="P27" i="7"/>
  <c r="Q27" i="7"/>
  <c r="P28" i="7"/>
  <c r="Q28" i="7"/>
  <c r="P29" i="7"/>
  <c r="Q29" i="7"/>
  <c r="AA3" i="6"/>
  <c r="Z53" i="6"/>
  <c r="Y53" i="6"/>
  <c r="Z52" i="6"/>
  <c r="Y52" i="6"/>
  <c r="Z51" i="6"/>
  <c r="Y51" i="6"/>
  <c r="Y37" i="4"/>
  <c r="X37" i="4"/>
  <c r="Y36" i="4"/>
  <c r="X36" i="4"/>
  <c r="Y35" i="4"/>
  <c r="X35" i="4"/>
  <c r="Z104" i="5"/>
  <c r="Y104" i="5"/>
  <c r="Z103" i="5"/>
  <c r="Y103" i="5"/>
  <c r="Z102" i="5"/>
  <c r="Y102" i="5"/>
  <c r="Z101" i="5"/>
  <c r="Y101" i="5"/>
  <c r="Z3" i="3"/>
  <c r="Y61" i="3"/>
  <c r="Y64" i="3"/>
  <c r="Y63" i="3"/>
  <c r="Y62" i="3"/>
  <c r="X64" i="3"/>
  <c r="X63" i="3"/>
  <c r="X62" i="3"/>
  <c r="X61" i="3"/>
  <c r="Q30" i="7" l="1"/>
  <c r="Q41" i="7" s="1"/>
  <c r="P30" i="7"/>
  <c r="P41" i="7" s="1"/>
  <c r="Q31" i="7"/>
  <c r="Q42" i="7" s="1"/>
  <c r="P31" i="7"/>
  <c r="P42" i="7" s="1"/>
  <c r="Q21" i="7"/>
  <c r="Q34" i="7" s="1"/>
  <c r="P22" i="7"/>
  <c r="Q23" i="7"/>
  <c r="P21" i="7"/>
  <c r="P34" i="7" s="1"/>
  <c r="Q20" i="7"/>
  <c r="Q37" i="7" s="1"/>
  <c r="P20" i="7"/>
  <c r="P37" i="7" s="1"/>
  <c r="Q22" i="7"/>
  <c r="Q32" i="7"/>
  <c r="Q43" i="7" s="1"/>
  <c r="P32" i="7"/>
  <c r="P43" i="7" s="1"/>
  <c r="P23" i="7"/>
  <c r="J37" i="4"/>
  <c r="P35" i="7" l="1"/>
  <c r="Q35" i="7"/>
  <c r="P36" i="7"/>
  <c r="Q36" i="7"/>
  <c r="Q38" i="7"/>
  <c r="P39" i="7"/>
  <c r="Q39" i="7"/>
  <c r="Q40" i="7"/>
  <c r="Q33" i="7"/>
  <c r="Q44" i="7" s="1"/>
  <c r="P40" i="7"/>
  <c r="P38" i="7"/>
  <c r="P33" i="7"/>
  <c r="P44" i="7" s="1"/>
  <c r="B29" i="7"/>
  <c r="B28" i="7"/>
  <c r="B26" i="7"/>
  <c r="B25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O14" i="7"/>
  <c r="N15" i="7"/>
  <c r="N14" i="7"/>
  <c r="M15" i="7"/>
  <c r="M14" i="7"/>
  <c r="L15" i="7"/>
  <c r="L14" i="7"/>
  <c r="K15" i="7"/>
  <c r="K14" i="7"/>
  <c r="J15" i="7"/>
  <c r="J14" i="7"/>
  <c r="I15" i="7"/>
  <c r="I14" i="7"/>
  <c r="H15" i="7"/>
  <c r="H14" i="7"/>
  <c r="G15" i="7"/>
  <c r="G14" i="7"/>
  <c r="F15" i="7"/>
  <c r="F14" i="7"/>
  <c r="E15" i="7"/>
  <c r="E14" i="7"/>
  <c r="D15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29" i="7"/>
  <c r="C26" i="7"/>
  <c r="C19" i="7"/>
  <c r="C18" i="7"/>
  <c r="C17" i="7"/>
  <c r="S13" i="7" l="1"/>
  <c r="S14" i="7"/>
  <c r="S15" i="7"/>
  <c r="R29" i="7"/>
  <c r="R25" i="7"/>
  <c r="R18" i="7"/>
  <c r="R28" i="7"/>
  <c r="S29" i="7"/>
  <c r="S28" i="7"/>
  <c r="R26" i="7"/>
  <c r="S26" i="7"/>
  <c r="S25" i="7"/>
  <c r="R19" i="7"/>
  <c r="R17" i="7"/>
  <c r="S18" i="7"/>
  <c r="S17" i="7"/>
  <c r="S19" i="7"/>
  <c r="C15" i="7"/>
  <c r="C14" i="7"/>
  <c r="C13" i="7"/>
  <c r="R13" i="7" l="1"/>
  <c r="R15" i="7"/>
  <c r="R14" i="7"/>
  <c r="O32" i="7"/>
  <c r="O43" i="7" s="1"/>
  <c r="N32" i="7"/>
  <c r="N43" i="7" s="1"/>
  <c r="M32" i="7"/>
  <c r="M43" i="7" s="1"/>
  <c r="L32" i="7"/>
  <c r="L43" i="7" s="1"/>
  <c r="K32" i="7"/>
  <c r="K43" i="7" s="1"/>
  <c r="J32" i="7"/>
  <c r="J43" i="7" s="1"/>
  <c r="I32" i="7"/>
  <c r="I43" i="7" s="1"/>
  <c r="H32" i="7"/>
  <c r="H43" i="7" s="1"/>
  <c r="G32" i="7"/>
  <c r="G43" i="7" s="1"/>
  <c r="F32" i="7"/>
  <c r="F43" i="7" s="1"/>
  <c r="E32" i="7"/>
  <c r="E43" i="7" s="1"/>
  <c r="D32" i="7"/>
  <c r="D43" i="7" s="1"/>
  <c r="C32" i="7"/>
  <c r="C43" i="7" s="1"/>
  <c r="B32" i="7"/>
  <c r="B43" i="7" s="1"/>
  <c r="O31" i="7"/>
  <c r="O42" i="7" s="1"/>
  <c r="N31" i="7"/>
  <c r="N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F31" i="7"/>
  <c r="F42" i="7" s="1"/>
  <c r="E31" i="7"/>
  <c r="E42" i="7" s="1"/>
  <c r="D31" i="7"/>
  <c r="D42" i="7" s="1"/>
  <c r="C31" i="7"/>
  <c r="C42" i="7" s="1"/>
  <c r="B31" i="7"/>
  <c r="B42" i="7" s="1"/>
  <c r="O22" i="7"/>
  <c r="O39" i="7" s="1"/>
  <c r="N22" i="7"/>
  <c r="N39" i="7" s="1"/>
  <c r="M22" i="7"/>
  <c r="M39" i="7" s="1"/>
  <c r="L22" i="7"/>
  <c r="L39" i="7" s="1"/>
  <c r="K22" i="7"/>
  <c r="K39" i="7" s="1"/>
  <c r="J22" i="7"/>
  <c r="J39" i="7" s="1"/>
  <c r="I22" i="7"/>
  <c r="I39" i="7" s="1"/>
  <c r="H22" i="7"/>
  <c r="H39" i="7" s="1"/>
  <c r="G22" i="7"/>
  <c r="G39" i="7" s="1"/>
  <c r="F22" i="7"/>
  <c r="F39" i="7" s="1"/>
  <c r="E22" i="7"/>
  <c r="E39" i="7" s="1"/>
  <c r="D22" i="7"/>
  <c r="D39" i="7" s="1"/>
  <c r="C22" i="7"/>
  <c r="C39" i="7" s="1"/>
  <c r="B22" i="7"/>
  <c r="B39" i="7" s="1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38" i="7" s="1"/>
  <c r="B21" i="7"/>
  <c r="W64" i="3"/>
  <c r="V64" i="3"/>
  <c r="U64" i="3"/>
  <c r="T64" i="3"/>
  <c r="S64" i="3"/>
  <c r="R64" i="3"/>
  <c r="Q64" i="3"/>
  <c r="P64" i="3"/>
  <c r="O64" i="3"/>
  <c r="N64" i="3"/>
  <c r="W63" i="3"/>
  <c r="V63" i="3"/>
  <c r="U63" i="3"/>
  <c r="T63" i="3"/>
  <c r="S63" i="3"/>
  <c r="R63" i="3"/>
  <c r="Q63" i="3"/>
  <c r="P63" i="3"/>
  <c r="O63" i="3"/>
  <c r="N63" i="3"/>
  <c r="W62" i="3"/>
  <c r="V62" i="3"/>
  <c r="U62" i="3"/>
  <c r="T62" i="3"/>
  <c r="S62" i="3"/>
  <c r="R62" i="3"/>
  <c r="Q62" i="3"/>
  <c r="P62" i="3"/>
  <c r="O62" i="3"/>
  <c r="N62" i="3"/>
  <c r="L64" i="3"/>
  <c r="K64" i="3"/>
  <c r="J64" i="3"/>
  <c r="L63" i="3"/>
  <c r="K63" i="3"/>
  <c r="J63" i="3"/>
  <c r="J62" i="3"/>
  <c r="H63" i="3"/>
  <c r="H62" i="3"/>
  <c r="X104" i="5"/>
  <c r="W104" i="5"/>
  <c r="V104" i="5"/>
  <c r="U104" i="5"/>
  <c r="T104" i="5"/>
  <c r="S104" i="5"/>
  <c r="R104" i="5"/>
  <c r="Q104" i="5"/>
  <c r="P104" i="5"/>
  <c r="O104" i="5"/>
  <c r="X103" i="5"/>
  <c r="W103" i="5"/>
  <c r="V103" i="5"/>
  <c r="U103" i="5"/>
  <c r="T103" i="5"/>
  <c r="S103" i="5"/>
  <c r="R103" i="5"/>
  <c r="Q103" i="5"/>
  <c r="P103" i="5"/>
  <c r="O103" i="5"/>
  <c r="X102" i="5"/>
  <c r="W102" i="5"/>
  <c r="V102" i="5"/>
  <c r="U102" i="5"/>
  <c r="T102" i="5"/>
  <c r="S102" i="5"/>
  <c r="R102" i="5"/>
  <c r="Q102" i="5"/>
  <c r="P102" i="5"/>
  <c r="O102" i="5"/>
  <c r="M104" i="5"/>
  <c r="L104" i="5"/>
  <c r="K104" i="5"/>
  <c r="M103" i="5"/>
  <c r="L103" i="5"/>
  <c r="K103" i="5"/>
  <c r="M102" i="5"/>
  <c r="L102" i="5"/>
  <c r="K102" i="5"/>
  <c r="I103" i="5"/>
  <c r="I102" i="5"/>
  <c r="W36" i="4"/>
  <c r="V36" i="4"/>
  <c r="U36" i="4"/>
  <c r="T36" i="4"/>
  <c r="S36" i="4"/>
  <c r="R36" i="4"/>
  <c r="Q36" i="4"/>
  <c r="P36" i="4"/>
  <c r="O36" i="4"/>
  <c r="N36" i="4"/>
  <c r="L36" i="4"/>
  <c r="K36" i="4"/>
  <c r="J36" i="4"/>
  <c r="H36" i="4"/>
  <c r="X52" i="6"/>
  <c r="W52" i="6"/>
  <c r="V52" i="6"/>
  <c r="U52" i="6"/>
  <c r="T52" i="6"/>
  <c r="S52" i="6"/>
  <c r="R52" i="6"/>
  <c r="Q52" i="6"/>
  <c r="P52" i="6"/>
  <c r="O52" i="6"/>
  <c r="M52" i="6"/>
  <c r="L52" i="6"/>
  <c r="K52" i="6"/>
  <c r="I52" i="6"/>
  <c r="AA52" i="6" l="1"/>
  <c r="Z36" i="4"/>
  <c r="AA102" i="5"/>
  <c r="AA104" i="5"/>
  <c r="AA103" i="5"/>
  <c r="Z64" i="3"/>
  <c r="Z63" i="3"/>
  <c r="S21" i="7"/>
  <c r="E38" i="7"/>
  <c r="K34" i="7"/>
  <c r="K38" i="7"/>
  <c r="F34" i="7"/>
  <c r="F38" i="7"/>
  <c r="L34" i="7"/>
  <c r="L38" i="7"/>
  <c r="G34" i="7"/>
  <c r="G38" i="7"/>
  <c r="M34" i="7"/>
  <c r="M38" i="7"/>
  <c r="B34" i="7"/>
  <c r="B38" i="7"/>
  <c r="H34" i="7"/>
  <c r="H38" i="7"/>
  <c r="N34" i="7"/>
  <c r="N38" i="7"/>
  <c r="I34" i="7"/>
  <c r="I38" i="7"/>
  <c r="O34" i="7"/>
  <c r="O38" i="7"/>
  <c r="D34" i="7"/>
  <c r="D38" i="7"/>
  <c r="J34" i="7"/>
  <c r="J38" i="7"/>
  <c r="AD52" i="6"/>
  <c r="R32" i="7"/>
  <c r="R31" i="7"/>
  <c r="AA36" i="4"/>
  <c r="S32" i="7"/>
  <c r="S31" i="7"/>
  <c r="C34" i="7"/>
  <c r="R21" i="7"/>
  <c r="E34" i="7"/>
  <c r="S22" i="7"/>
  <c r="R22" i="7"/>
  <c r="E35" i="7"/>
  <c r="M35" i="7"/>
  <c r="H35" i="7"/>
  <c r="AB102" i="5"/>
  <c r="D35" i="7"/>
  <c r="L35" i="7"/>
  <c r="I35" i="7"/>
  <c r="C35" i="7"/>
  <c r="G35" i="7"/>
  <c r="K35" i="7"/>
  <c r="O35" i="7"/>
  <c r="B35" i="7"/>
  <c r="F35" i="7"/>
  <c r="J35" i="7"/>
  <c r="N35" i="7"/>
  <c r="AB52" i="6"/>
  <c r="AC36" i="4"/>
  <c r="AD102" i="5"/>
  <c r="K62" i="3"/>
  <c r="Z62" i="3" s="1"/>
  <c r="S34" i="7" l="1"/>
  <c r="R35" i="7"/>
  <c r="S35" i="7"/>
  <c r="R34" i="7"/>
  <c r="D24" i="7"/>
  <c r="B24" i="7"/>
  <c r="AA62" i="3"/>
  <c r="O23" i="7"/>
  <c r="N23" i="7"/>
  <c r="M23" i="7"/>
  <c r="L23" i="7"/>
  <c r="K23" i="7"/>
  <c r="J23" i="7"/>
  <c r="I23" i="7"/>
  <c r="H23" i="7"/>
  <c r="G23" i="7"/>
  <c r="F23" i="7"/>
  <c r="E23" i="7"/>
  <c r="E40" i="7" s="1"/>
  <c r="D23" i="7"/>
  <c r="C23" i="7"/>
  <c r="C40" i="7" s="1"/>
  <c r="B23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O24" i="7"/>
  <c r="N24" i="7"/>
  <c r="M24" i="7"/>
  <c r="L24" i="7"/>
  <c r="K24" i="7"/>
  <c r="J24" i="7"/>
  <c r="I24" i="7"/>
  <c r="H24" i="7"/>
  <c r="G24" i="7"/>
  <c r="F24" i="7"/>
  <c r="E24" i="7"/>
  <c r="C24" i="7"/>
  <c r="X53" i="6"/>
  <c r="W53" i="6"/>
  <c r="V53" i="6"/>
  <c r="U53" i="6"/>
  <c r="T53" i="6"/>
  <c r="S53" i="6"/>
  <c r="R53" i="6"/>
  <c r="Q53" i="6"/>
  <c r="P53" i="6"/>
  <c r="O53" i="6"/>
  <c r="M53" i="6"/>
  <c r="L53" i="6"/>
  <c r="K53" i="6"/>
  <c r="I53" i="6"/>
  <c r="X51" i="6"/>
  <c r="W51" i="6"/>
  <c r="V51" i="6"/>
  <c r="U51" i="6"/>
  <c r="T51" i="6"/>
  <c r="S51" i="6"/>
  <c r="R51" i="6"/>
  <c r="Q51" i="6"/>
  <c r="P51" i="6"/>
  <c r="O51" i="6"/>
  <c r="M51" i="6"/>
  <c r="L51" i="6"/>
  <c r="K51" i="6"/>
  <c r="I51" i="6"/>
  <c r="W37" i="4"/>
  <c r="V37" i="4"/>
  <c r="U37" i="4"/>
  <c r="T37" i="4"/>
  <c r="S37" i="4"/>
  <c r="R37" i="4"/>
  <c r="Q37" i="4"/>
  <c r="P37" i="4"/>
  <c r="O37" i="4"/>
  <c r="N37" i="4"/>
  <c r="L37" i="4"/>
  <c r="K37" i="4"/>
  <c r="H37" i="4"/>
  <c r="I104" i="5"/>
  <c r="H64" i="3"/>
  <c r="Z37" i="4" l="1"/>
  <c r="F36" i="7"/>
  <c r="F40" i="7"/>
  <c r="L36" i="7"/>
  <c r="L40" i="7"/>
  <c r="M36" i="7"/>
  <c r="M40" i="7"/>
  <c r="B36" i="7"/>
  <c r="B40" i="7"/>
  <c r="O36" i="7"/>
  <c r="O40" i="7"/>
  <c r="G36" i="7"/>
  <c r="G40" i="7"/>
  <c r="H36" i="7"/>
  <c r="H40" i="7"/>
  <c r="N36" i="7"/>
  <c r="N40" i="7"/>
  <c r="I36" i="7"/>
  <c r="I40" i="7"/>
  <c r="D36" i="7"/>
  <c r="D40" i="7"/>
  <c r="J36" i="7"/>
  <c r="J40" i="7"/>
  <c r="K36" i="7"/>
  <c r="K40" i="7"/>
  <c r="AA53" i="6"/>
  <c r="AA51" i="6"/>
  <c r="L62" i="3"/>
  <c r="AC62" i="3" s="1"/>
  <c r="AC3" i="3"/>
  <c r="R27" i="7"/>
  <c r="R24" i="7"/>
  <c r="S24" i="7"/>
  <c r="C36" i="7"/>
  <c r="R23" i="7"/>
  <c r="E36" i="7"/>
  <c r="S23" i="7"/>
  <c r="L30" i="7"/>
  <c r="L41" i="7" s="1"/>
  <c r="H30" i="7"/>
  <c r="H41" i="7" s="1"/>
  <c r="G30" i="7"/>
  <c r="G41" i="7" s="1"/>
  <c r="K30" i="7"/>
  <c r="K41" i="7" s="1"/>
  <c r="O30" i="7"/>
  <c r="O41" i="7" s="1"/>
  <c r="J30" i="7"/>
  <c r="J41" i="7" s="1"/>
  <c r="E30" i="7"/>
  <c r="E41" i="7" s="1"/>
  <c r="I30" i="7"/>
  <c r="I41" i="7" s="1"/>
  <c r="M30" i="7"/>
  <c r="M41" i="7" s="1"/>
  <c r="F30" i="7"/>
  <c r="F41" i="7" s="1"/>
  <c r="N30" i="7"/>
  <c r="N41" i="7" s="1"/>
  <c r="C30" i="7"/>
  <c r="C41" i="7" s="1"/>
  <c r="D30" i="7"/>
  <c r="D41" i="7" s="1"/>
  <c r="B30" i="7"/>
  <c r="B41" i="7" s="1"/>
  <c r="H35" i="4"/>
  <c r="L35" i="4"/>
  <c r="K35" i="4"/>
  <c r="J35" i="4"/>
  <c r="W35" i="4"/>
  <c r="V35" i="4"/>
  <c r="U35" i="4"/>
  <c r="T35" i="4"/>
  <c r="S35" i="4"/>
  <c r="R35" i="4"/>
  <c r="Q35" i="4"/>
  <c r="P35" i="4"/>
  <c r="O35" i="4"/>
  <c r="N35" i="4"/>
  <c r="AB53" i="6"/>
  <c r="AD53" i="6"/>
  <c r="AB103" i="5"/>
  <c r="AD103" i="5"/>
  <c r="AB104" i="5"/>
  <c r="AD104" i="5"/>
  <c r="AA63" i="3"/>
  <c r="AC63" i="3"/>
  <c r="AA64" i="3"/>
  <c r="AC64" i="3"/>
  <c r="B16" i="7"/>
  <c r="B12" i="7"/>
  <c r="O16" i="7"/>
  <c r="N16" i="7"/>
  <c r="M16" i="7"/>
  <c r="L16" i="7"/>
  <c r="K16" i="7"/>
  <c r="J16" i="7"/>
  <c r="I16" i="7"/>
  <c r="H16" i="7"/>
  <c r="O12" i="7"/>
  <c r="N12" i="7"/>
  <c r="M12" i="7"/>
  <c r="L12" i="7"/>
  <c r="K12" i="7"/>
  <c r="J12" i="7"/>
  <c r="I12" i="7"/>
  <c r="H12" i="7"/>
  <c r="AB51" i="6"/>
  <c r="AD51" i="6"/>
  <c r="AD3" i="6"/>
  <c r="AB3" i="6"/>
  <c r="AC3" i="4"/>
  <c r="AA3" i="4"/>
  <c r="AB3" i="4" s="1"/>
  <c r="Z35" i="4" l="1"/>
  <c r="AC35" i="4"/>
  <c r="J20" i="7"/>
  <c r="J37" i="7" s="1"/>
  <c r="O20" i="7"/>
  <c r="O33" i="7" s="1"/>
  <c r="K20" i="7"/>
  <c r="K33" i="7" s="1"/>
  <c r="S36" i="7"/>
  <c r="H20" i="7"/>
  <c r="N20" i="7"/>
  <c r="N37" i="7" s="1"/>
  <c r="AA35" i="4"/>
  <c r="S30" i="7"/>
  <c r="AC3" i="6"/>
  <c r="R30" i="7"/>
  <c r="M20" i="7"/>
  <c r="I20" i="7"/>
  <c r="I37" i="7" s="1"/>
  <c r="R36" i="7"/>
  <c r="B20" i="7"/>
  <c r="B37" i="7" s="1"/>
  <c r="L20" i="7"/>
  <c r="L37" i="7" s="1"/>
  <c r="O61" i="3"/>
  <c r="J33" i="7" l="1"/>
  <c r="J44" i="7" s="1"/>
  <c r="I33" i="7"/>
  <c r="I44" i="7" s="1"/>
  <c r="O37" i="7"/>
  <c r="K44" i="7"/>
  <c r="M33" i="7"/>
  <c r="M44" i="7" s="1"/>
  <c r="M37" i="7"/>
  <c r="H33" i="7"/>
  <c r="H44" i="7" s="1"/>
  <c r="O44" i="7"/>
  <c r="N33" i="7"/>
  <c r="N44" i="7" s="1"/>
  <c r="L33" i="7"/>
  <c r="L44" i="7" s="1"/>
  <c r="H37" i="7"/>
  <c r="K37" i="7"/>
  <c r="S27" i="7"/>
  <c r="AA3" i="3" l="1"/>
  <c r="E16" i="7" l="1"/>
  <c r="E12" i="7"/>
  <c r="E20" i="7" l="1"/>
  <c r="E33" i="7" s="1"/>
  <c r="G12" i="7"/>
  <c r="G16" i="7"/>
  <c r="F16" i="7"/>
  <c r="F12" i="7"/>
  <c r="C16" i="7"/>
  <c r="C12" i="7"/>
  <c r="B33" i="7"/>
  <c r="B44" i="7" s="1"/>
  <c r="X101" i="5"/>
  <c r="W101" i="5"/>
  <c r="V101" i="5"/>
  <c r="U101" i="5"/>
  <c r="T101" i="5"/>
  <c r="S101" i="5"/>
  <c r="R101" i="5"/>
  <c r="Q101" i="5"/>
  <c r="P101" i="5"/>
  <c r="O101" i="5"/>
  <c r="L101" i="5"/>
  <c r="K101" i="5"/>
  <c r="I101" i="5"/>
  <c r="W61" i="3"/>
  <c r="V61" i="3"/>
  <c r="U61" i="3"/>
  <c r="T61" i="3"/>
  <c r="S61" i="3"/>
  <c r="R61" i="3"/>
  <c r="Q61" i="3"/>
  <c r="P61" i="3"/>
  <c r="N61" i="3"/>
  <c r="K61" i="3"/>
  <c r="J61" i="3"/>
  <c r="H61" i="3"/>
  <c r="AA101" i="5" l="1"/>
  <c r="Z61" i="3"/>
  <c r="S16" i="7"/>
  <c r="E44" i="7"/>
  <c r="E37" i="7"/>
  <c r="S12" i="7"/>
  <c r="C20" i="7"/>
  <c r="C37" i="7" s="1"/>
  <c r="F20" i="7"/>
  <c r="F37" i="7" s="1"/>
  <c r="G20" i="7"/>
  <c r="AB101" i="5"/>
  <c r="AA37" i="4"/>
  <c r="AA61" i="3"/>
  <c r="AB3" i="3"/>
  <c r="D16" i="7"/>
  <c r="R16" i="7" s="1"/>
  <c r="L61" i="3"/>
  <c r="AC61" i="3" s="1"/>
  <c r="M101" i="5"/>
  <c r="AD101" i="5" s="1"/>
  <c r="D12" i="7"/>
  <c r="R12" i="7" s="1"/>
  <c r="AC37" i="4"/>
  <c r="C33" i="7" l="1"/>
  <c r="C44" i="7" s="1"/>
  <c r="G33" i="7"/>
  <c r="G44" i="7" s="1"/>
  <c r="G37" i="7"/>
  <c r="S20" i="7"/>
  <c r="D20" i="7"/>
  <c r="D37" i="7" s="1"/>
  <c r="F33" i="7"/>
  <c r="S33" i="7" l="1"/>
  <c r="F44" i="7"/>
  <c r="R20" i="7"/>
  <c r="D33" i="7"/>
  <c r="R33" i="7" s="1"/>
  <c r="D44" i="7" l="1"/>
</calcChain>
</file>

<file path=xl/sharedStrings.xml><?xml version="1.0" encoding="utf-8"?>
<sst xmlns="http://schemas.openxmlformats.org/spreadsheetml/2006/main" count="1546" uniqueCount="565">
  <si>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</si>
  <si>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</si>
  <si>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</si>
  <si>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</si>
  <si>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</si>
  <si>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</si>
  <si>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</si>
  <si>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</si>
  <si>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</si>
  <si>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</si>
  <si>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</si>
  <si>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</si>
  <si>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</si>
  <si>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</si>
  <si>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</si>
  <si>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</si>
  <si>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</si>
  <si>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</si>
  <si>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</si>
  <si>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</si>
  <si>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</si>
  <si>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</si>
  <si>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</si>
  <si>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</si>
  <si>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</si>
  <si>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</si>
  <si>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</si>
  <si>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</si>
  <si>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</si>
  <si>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</si>
  <si>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</si>
  <si>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</si>
  <si>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</si>
  <si>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</si>
  <si>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</si>
  <si>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</si>
  <si>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</si>
  <si>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</si>
  <si>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</si>
  <si>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</si>
  <si>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</si>
  <si>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</si>
  <si>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</si>
  <si>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</si>
  <si>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</si>
  <si>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</si>
  <si>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</si>
  <si>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Lista zadań powiatowych i zadań gminnych rekomendowanych do dofinansowania w ramach Rządowego Funduszu Rozwoju Dróg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</si>
  <si>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 rok 2025</t>
    </r>
  </si>
  <si>
    <t>Województwo: podlaskie</t>
  </si>
  <si>
    <t>Powiat Białostocki</t>
  </si>
  <si>
    <t>Powiat Bielski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</si>
  <si>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</si>
  <si>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</si>
  <si>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</si>
  <si>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</si>
  <si>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</si>
  <si>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</si>
  <si>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</si>
  <si>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</si>
  <si>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</si>
  <si>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</si>
  <si>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</si>
  <si>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augustowski</t>
  </si>
  <si>
    <t>Powiat białostocki</t>
  </si>
  <si>
    <t>Gmina Miejska Bielsk Podlaski</t>
  </si>
  <si>
    <t>Powiat bielski</t>
  </si>
  <si>
    <t>Gmina Miejska Grajewo</t>
  </si>
  <si>
    <t>Gmina Miejska Hajnówka</t>
  </si>
  <si>
    <t>Powiat kolneński</t>
  </si>
  <si>
    <t>Powiat łomżyński</t>
  </si>
  <si>
    <t>Gmina Miejska Sejny</t>
  </si>
  <si>
    <t>Gmina Miejska Siemiatycze</t>
  </si>
  <si>
    <t>Powiat siemiatycki</t>
  </si>
  <si>
    <t>Powiat sokólski</t>
  </si>
  <si>
    <t>Powiat suwalski</t>
  </si>
  <si>
    <t>Gmina Miejska Wysokie Mazowieckie</t>
  </si>
  <si>
    <t>Powiat wysokomazowiecki</t>
  </si>
  <si>
    <t>Gmina Miejska Zambrów</t>
  </si>
  <si>
    <t>K</t>
  </si>
  <si>
    <r>
      <t xml:space="preserve">Powiat Sokólski </t>
    </r>
    <r>
      <rPr>
        <vertAlign val="superscript"/>
        <sz val="10"/>
        <color indexed="10"/>
        <rFont val="Arial"/>
        <family val="2"/>
        <charset val="238"/>
      </rPr>
      <t>x2)</t>
    </r>
  </si>
  <si>
    <t>2011</t>
  </si>
  <si>
    <t>Przebudowa drogi powiatowej nr 1281B Krynki - Górany na terenie gminy Krynki w Powiecie Sokólskim wraz z usuwaniem skutków klęski żywiołowej</t>
  </si>
  <si>
    <t>P</t>
  </si>
  <si>
    <t>12.2022-01.2025</t>
  </si>
  <si>
    <t>B</t>
  </si>
  <si>
    <r>
      <t xml:space="preserve">Powiat Sokólski </t>
    </r>
    <r>
      <rPr>
        <vertAlign val="superscript"/>
        <sz val="10"/>
        <color indexed="10"/>
        <rFont val="Arial"/>
        <family val="2"/>
        <charset val="238"/>
      </rPr>
      <t>x1)</t>
    </r>
  </si>
  <si>
    <t>R</t>
  </si>
  <si>
    <r>
      <t xml:space="preserve">Powiat Siemiatycki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</si>
  <si>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>Powiat Łomżyński</t>
    </r>
    <r>
      <rPr>
        <vertAlign val="superscript"/>
        <sz val="10"/>
        <color indexed="10"/>
        <rFont val="Arial"/>
        <family val="2"/>
        <charset val="238"/>
      </rPr>
      <t xml:space="preserve"> x1)</t>
    </r>
  </si>
  <si>
    <t>Przebudowa i rozbudowa drogi powiatowej nr 1900B Piątnica - Czarnocin na odc. ok. 1 420 m w systemie "zaprojektuj i wybuduj"</t>
  </si>
  <si>
    <t>12.2023 - 08.2025</t>
  </si>
  <si>
    <r>
      <t xml:space="preserve">Powiat Grajewski </t>
    </r>
    <r>
      <rPr>
        <vertAlign val="superscript"/>
        <sz val="10"/>
        <color indexed="10"/>
        <rFont val="Arial"/>
        <family val="2"/>
        <charset val="238"/>
      </rPr>
      <t>x1)</t>
    </r>
  </si>
  <si>
    <t>Rozbudowa DP nr 1806B na odc. Szczuczyn - Skaje</t>
  </si>
  <si>
    <t>08.2023 - 08.2025</t>
  </si>
  <si>
    <t>Budowa drogi powiatowej w Sokółce o przebiegu od ulicy Mickiewicza do ulic Witosa i Mariańskiej</t>
  </si>
  <si>
    <t>Rozbudowa DP nr 1803B Grajewo - Uścianki - Flesze - Cyprki</t>
  </si>
  <si>
    <t>10.2023 - 11.2025</t>
  </si>
  <si>
    <t>Rozbudowa i przebudowa drogi powiatowej nr 2384B ulica Górna w Sokółce poprzez wykonanie ciągu pieszo-rowerowego</t>
  </si>
  <si>
    <t>12.2023 - 10.2025</t>
  </si>
  <si>
    <t>Rozbudowa DP nr 1822B na odc. Żebry - Bukowo Duże - Wiązownica</t>
  </si>
  <si>
    <t>12.2023 - 12.2025</t>
  </si>
  <si>
    <t>Przebudowa DP nr 1787B na odcinkach w m. czarna Wieś i Tama z budową kładki pieszo-rowerowej na Kanale Kuwaskim</t>
  </si>
  <si>
    <t>08.2023 - 11.2025</t>
  </si>
  <si>
    <t>Rozbudowa ul. Targowej w Sokółce w ciągu drogi powiatowej nr 1303B</t>
  </si>
  <si>
    <t>Rozbudowa i przebudowa drogi powiatowej nr 2385B ul. Zabrodzie w Sokółce</t>
  </si>
  <si>
    <r>
      <t xml:space="preserve">Powiat Białostocki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</si>
  <si>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Powiat Wysokomazowiecki </t>
    </r>
    <r>
      <rPr>
        <vertAlign val="superscript"/>
        <sz val="10"/>
        <color indexed="10"/>
        <rFont val="Arial"/>
        <family val="2"/>
        <charset val="238"/>
      </rPr>
      <t>x1)</t>
    </r>
  </si>
  <si>
    <t>Rozbudowa drogi powiatowej nr 2094B Ciechanowiec - Perlejewo wraz z rozbudową skrzyżowania z drogą powiatową nr 2616B - ul. Drohicka w Ciechanowcu</t>
  </si>
  <si>
    <t>05.2024 - 10.2026</t>
  </si>
  <si>
    <t>Remont drogi powiatowej nr 1729B na odcinku granica Gminy Siemiatycze - DW nr 692</t>
  </si>
  <si>
    <t>01.2024 - 10.2025</t>
  </si>
  <si>
    <t>Rozbudowa drogi powiatowej nr 2072B Wysokie Mazowieckie - Święck Wielki</t>
  </si>
  <si>
    <t>04.2024 - 10.2026</t>
  </si>
  <si>
    <t>Remont drogi powiatowej nr 2108B Krasowo Wólka - dr. Woj. nr 659</t>
  </si>
  <si>
    <t>04.2024 - 10.2025</t>
  </si>
  <si>
    <t>Przebudowa drogi powiatowej nr 1711B na odcinku Drohiczyn - Miłkowice-Maćki</t>
  </si>
  <si>
    <t>06.2024 - 10.2025</t>
  </si>
  <si>
    <t>Rozbudowa drogi powiatowej 1327B od drogi powiatowej 1321B do drogi powiatowej 1323B na terenie gminy Janów w powiecie sokólskim</t>
  </si>
  <si>
    <t>02.2024 - 11.2025</t>
  </si>
  <si>
    <t>Rozbudowa drogi powiatowej nr 2058B Kulesze Kościelne - Gołasze Mościckie</t>
  </si>
  <si>
    <t>Rozbudowa drogi powiatowej 1331B na terenie gminy Janów w powiecie sokólskim</t>
  </si>
  <si>
    <t>Rozbudowa drogi powiatowej 1333B na terenie gminy Suchowola w powiecie sokólskim</t>
  </si>
  <si>
    <t>03.2024 - 08.2025</t>
  </si>
  <si>
    <t>Rozbudowa odcinka drogi powiatowej 1322B na terenie gminy Dąbrowa Białostocka w powiecie sokólskim</t>
  </si>
  <si>
    <t>Przebudowa z rozbudową drogi powiatowej nr 1969B na odcinku Targonie Wity - Zawady Kolonia (Gm. Zawady)</t>
  </si>
  <si>
    <t>10.2024 - 12.2026</t>
  </si>
  <si>
    <r>
      <t xml:space="preserve">Przebudowa z rozbudową drogi powiatowej nr </t>
    </r>
    <r>
      <rPr>
        <sz val="11"/>
        <color indexed="10"/>
        <rFont val="Calibri"/>
        <family val="2"/>
        <charset val="238"/>
      </rPr>
      <t>1581B Wyszki – Filipy, etap II odcinek Kowale – Filipy</t>
    </r>
  </si>
  <si>
    <t>Rozbudowa drogi powiatowej nr 2037B gr. woj. - Dmochy Wochy - dr. kr. nr 63</t>
  </si>
  <si>
    <t>Rozbudowa drogi powiatowej nr 2106B Kobusy - Radziszewo-Sieńczuch</t>
  </si>
  <si>
    <t>Rozbudowa DP nr 1817B na odcinku Dziewięcin - Borawskie</t>
  </si>
  <si>
    <t>Przebudowa i rozbudowa drogi powiatowej nr 1917B Stary Cydzyn - Nowy Cydzyn</t>
  </si>
  <si>
    <t>10.2024 - 11.2025</t>
  </si>
  <si>
    <t>05.2024 - 11.2025</t>
  </si>
  <si>
    <t>Przebudowa z rozbudową drogi powiatowej nr 1482B na odcinku Kaniuki do drogi gminnej nr 106860B (Gm. Zabłudów)</t>
  </si>
  <si>
    <t>Przebudowa dróg powiatowych nr 1912B oraz 2648B w obrębie m. Nowogród</t>
  </si>
  <si>
    <t>Rozbiórka i budowa mostu przez rz. Białą wraz z przebudową odcinka drogi powiatowej nr 1392B k/m Fasty (Gm. Dobrzyniewo Duże)</t>
  </si>
  <si>
    <t>06.2024 - 08.2026</t>
  </si>
  <si>
    <t>Rozbudowa drogi powiatowej 1293B na terenie gminy Sokółka w powiecie sokólskim</t>
  </si>
  <si>
    <t>01.2024 - 08.2025</t>
  </si>
  <si>
    <t>Przebudowa z rozbudową drogi powiatowej nr 1479B na odcinku Kolonia Koplany - Brończany - Stacja Lewickie - etap I (Gm. Juchnowiec Kościelny)</t>
  </si>
  <si>
    <r>
      <t xml:space="preserve">Powiat Bielski </t>
    </r>
    <r>
      <rPr>
        <vertAlign val="superscript"/>
        <sz val="10"/>
        <color indexed="10"/>
        <rFont val="Arial"/>
        <family val="2"/>
        <charset val="238"/>
      </rPr>
      <t>x1)</t>
    </r>
  </si>
  <si>
    <t>Rozbudowa drogi powiatowej nr 1683B Kozły - Podbiele</t>
  </si>
  <si>
    <t>07.2024 - 08.2026</t>
  </si>
  <si>
    <r>
      <t xml:space="preserve">Gmina Filipów </t>
    </r>
    <r>
      <rPr>
        <vertAlign val="superscript"/>
        <sz val="10"/>
        <color indexed="10"/>
        <rFont val="Arial"/>
        <family val="2"/>
        <charset val="238"/>
      </rPr>
      <t>x1)</t>
    </r>
  </si>
  <si>
    <t>Gmina Sidra</t>
  </si>
  <si>
    <t>Gmina Brańsk</t>
  </si>
  <si>
    <t>Przebudowa drogi gminnej Nr 108239B Kiersnowo - Dębowo</t>
  </si>
  <si>
    <t>11.2023 - 10.2025</t>
  </si>
  <si>
    <r>
      <t>Gmina Łomża</t>
    </r>
    <r>
      <rPr>
        <vertAlign val="superscript"/>
        <sz val="10"/>
        <color indexed="10"/>
        <rFont val="Arial"/>
        <family val="2"/>
        <charset val="238"/>
      </rPr>
      <t xml:space="preserve"> x1)</t>
    </r>
  </si>
  <si>
    <t>Przebudowa z rozbudową drogi gminnej nr 105753B ulica Wiejska we wsi Stara Łomża przy szosie - etap II</t>
  </si>
  <si>
    <t>11.2023 - 05.2025</t>
  </si>
  <si>
    <r>
      <t xml:space="preserve">Gmina Grabowo </t>
    </r>
    <r>
      <rPr>
        <vertAlign val="superscript"/>
        <sz val="10"/>
        <color indexed="10"/>
        <rFont val="Arial"/>
        <family val="2"/>
        <charset val="238"/>
      </rPr>
      <t>x1)</t>
    </r>
  </si>
  <si>
    <t>Przebudowa części drogi gminnej (dz. nr ew. 133 i cz. Dz. 134) o dł. 735 m w miejscowości Ciemianka (Kolonia Jadłówek)</t>
  </si>
  <si>
    <t>08.2023 - 07.2025</t>
  </si>
  <si>
    <t>Rozbudowa drogi gminnej 103581B na terenie Gminy Nowy Dwór w powiecie sokólskim</t>
  </si>
  <si>
    <t>02.2024 - 08.2026</t>
  </si>
  <si>
    <t>Gmina Zabłudów</t>
  </si>
  <si>
    <t>Przebudowa drogi gminnej 106860B Ryboły - Kaniuki</t>
  </si>
  <si>
    <t>04.2024 - 11.2026</t>
  </si>
  <si>
    <t>Gmina Kulesze Koscielne</t>
  </si>
  <si>
    <t>Remont drogi gminnej nr 106326B Kulesze-Podawce - Chojane-Pawłowięta</t>
  </si>
  <si>
    <t>Gmina Grodzisk</t>
  </si>
  <si>
    <t>Przebudowa drogi nr 108798B Sypnie Nowe - Kozłowo</t>
  </si>
  <si>
    <t>03.2024 - 10.2025</t>
  </si>
  <si>
    <r>
      <t xml:space="preserve">Gmina Miejska Wysokie Mazowieckie </t>
    </r>
    <r>
      <rPr>
        <vertAlign val="superscript"/>
        <sz val="10"/>
        <color indexed="10"/>
        <rFont val="Arial"/>
        <family val="2"/>
        <charset val="238"/>
      </rPr>
      <t>x1)</t>
    </r>
  </si>
  <si>
    <t>Budowa dróg na osiedlu przy ul. Ks. Prałata Józefa Obrembskiego w Wysokiem Mazowieckiem</t>
  </si>
  <si>
    <t>07.2024 - 11.2026</t>
  </si>
  <si>
    <t>Rozbudowa drogi gminnej nr 107957B w miejscowościach Osipy-Kolonia, Osipy-Wydziory Pierwsze, Osipy-Zakrzewizna</t>
  </si>
  <si>
    <t>Gmina Poświętne</t>
  </si>
  <si>
    <t>Rozbudowa drogi gminnej nr 107589B w miejscowości Porośl Wojsławy</t>
  </si>
  <si>
    <t>06.2024 - 09.2025</t>
  </si>
  <si>
    <t>Przebudowa drogi gminnej nr 109291B w Siemichoczach</t>
  </si>
  <si>
    <t>Rozbudowa drogi gminnej nr 101871B w miejscowości Huta</t>
  </si>
  <si>
    <t>04.2024 - 08.2025</t>
  </si>
  <si>
    <t>Przebudowa drogi gminnej nr 103601B na odcinku Wólka - Romanówka</t>
  </si>
  <si>
    <t>06.2024 - 12.2025</t>
  </si>
  <si>
    <t>Gmina Płaska</t>
  </si>
  <si>
    <t>Budowa drogi gminnej w miejscowości Płaska, gmina Płaska</t>
  </si>
  <si>
    <t>03.2024 - 09.2025</t>
  </si>
  <si>
    <t>Gmina Drohiczyn</t>
  </si>
  <si>
    <t>Budowa i rozbudowa ulic: M. Konopnickiej, Litewskiej i Olimpijskiej w Drohiczynie</t>
  </si>
  <si>
    <t>05.2024 - 12.2025</t>
  </si>
  <si>
    <r>
      <t xml:space="preserve">Gmina Wyszki </t>
    </r>
    <r>
      <rPr>
        <vertAlign val="superscript"/>
        <sz val="10"/>
        <color indexed="10"/>
        <rFont val="Arial"/>
        <family val="2"/>
        <charset val="238"/>
      </rPr>
      <t>x2)</t>
    </r>
  </si>
  <si>
    <t>Przebudowa drogi gminnej nr 107542B i drogi nr 107532B w miejscowości Tworki</t>
  </si>
  <si>
    <t>07.2024 - 09.2025</t>
  </si>
  <si>
    <r>
      <t xml:space="preserve">Gmina Ciechanowiec </t>
    </r>
    <r>
      <rPr>
        <vertAlign val="superscript"/>
        <sz val="10"/>
        <color indexed="10"/>
        <rFont val="Arial"/>
        <family val="2"/>
        <charset val="238"/>
      </rPr>
      <t>x1)</t>
    </r>
  </si>
  <si>
    <t>Rozbudowa drogi gminnej nr 108854B w m. Nowodwory</t>
  </si>
  <si>
    <r>
      <t xml:space="preserve">Gmina Raczki </t>
    </r>
    <r>
      <rPr>
        <vertAlign val="superscript"/>
        <sz val="10"/>
        <color indexed="10"/>
        <rFont val="Arial"/>
        <family val="2"/>
        <charset val="238"/>
      </rPr>
      <t>x1)</t>
    </r>
  </si>
  <si>
    <t>Rozbudowa drogi w miejsowości Koniecbór wraz z budową mostu przez rzekę Szczeberka w miejscowości Koniecbór</t>
  </si>
  <si>
    <t>05.2024 - 10.2025</t>
  </si>
  <si>
    <t>Gmina Suwałki</t>
  </si>
  <si>
    <t>Rozbudowa drogi gminnej nr 102035B w msc. Nowa Wieś, gm. Suwałki</t>
  </si>
  <si>
    <t>Gmina Choroszcz</t>
  </si>
  <si>
    <t>Gmina Czyżew</t>
  </si>
  <si>
    <t>01.2024 - 11.2025</t>
  </si>
  <si>
    <t>Rozbudowa drogi gminnej nr 104627B Stara Kubra - Kubra Przebudówka II</t>
  </si>
  <si>
    <t>02.2024 - 08.2025</t>
  </si>
  <si>
    <t>Rozbiórka istniejącego i budowa nowego mostu przez rz. Brok w m. Krzeczkowo Mianowskie w ciągu drogi gminnej nr 107988B wraz z niezbędnymi dojazdami</t>
  </si>
  <si>
    <t>Budowa dróg gminnych nr 106316B Leśniewo-Niedźwiedź i nr 106347B Leśniewo-Niedźwiedź - Stypułki-Giemzino</t>
  </si>
  <si>
    <t>05.2024 - 11.2026</t>
  </si>
  <si>
    <t>06.2024 - 11.2025</t>
  </si>
  <si>
    <t>Rozbudowa drogi gminnej nr 102013B oraz przebudowa drogi wewnętrznej w msc. Taciewo, gm. Suwałki</t>
  </si>
  <si>
    <t>Przebudowa drogi gminnej relacji Chojewo - Truski</t>
  </si>
  <si>
    <t>Przebudowa drogi gminnej nr 107984B Kaczyn Stary - Kaczyn Herbasy</t>
  </si>
  <si>
    <t>Gmina Sokółka</t>
  </si>
  <si>
    <t>Przebudowa ul. Kołłątaja, ul. Boh. Monte Casino, ul. Wyszyńskiego w Sokółce wraz z infrastrukturą towarzyszącą</t>
  </si>
  <si>
    <t>09.2024 - 05.2026</t>
  </si>
  <si>
    <t>Przebudowa odcinka drogi gminnej relacji Siennica Gizy - Siennica Łukasze</t>
  </si>
  <si>
    <t>06.2024 - 07.2026</t>
  </si>
  <si>
    <t>Przebudowa z rozbudową DP nr 1794B na odcinku Bełda – Stoczek w km 0+030 ÷ 2+630</t>
  </si>
  <si>
    <t>06.2025-05.2026</t>
  </si>
  <si>
    <t>Rozbudowa drogi powiatowej Nr 1429B na odcinku Ciasne - Ogrodniczki (Gm. Supraśl)</t>
  </si>
  <si>
    <t>01.2025 - 12.2025</t>
  </si>
  <si>
    <t>Przebudowa z rozbudową drogi powiatowej nr 1466B na odcinku Hieronimowo - granica Gminy Michałow (Gm. Michałowo)</t>
  </si>
  <si>
    <t>01.2025 - 12.2027</t>
  </si>
  <si>
    <t>Remont drogi powiatowej Nr 2072B na odc. Krzeczkowo Mianowskie - Czyżew</t>
  </si>
  <si>
    <t>06.2025 -10.2028</t>
  </si>
  <si>
    <t>06.2025 - 09.2025</t>
  </si>
  <si>
    <t>Przebudowa skrzyżowania drogi powiatowej Nr 1489B z drogą gminną Nr 106855B w m. Zagruszany (Gm. Zabłudów)</t>
  </si>
  <si>
    <t>Rozbudowa drogi powiatowej nr 1898B na odcinku Mały Płock - Mściwuje</t>
  </si>
  <si>
    <t>04.2025 - 11.2025</t>
  </si>
  <si>
    <t>Gmina Klukowo</t>
  </si>
  <si>
    <t>Remont drogi powiatowej nr 2087B na odcinku Kostry-Śmiejki - Wyszonki-Wypychy</t>
  </si>
  <si>
    <t>03.2025 - 12.2025</t>
  </si>
  <si>
    <t>Przebudowa i rozbudowa drogi powiatowej Nr 1741B od skrzyżowania z drogą powiatową  Nr 1740B do skrzyżowania z drogą gminną do miejscowości Bystre łącznie z przebudową mostu</t>
  </si>
  <si>
    <t>07.2025 - 11.2027</t>
  </si>
  <si>
    <t>Rozbudowa drogi powiatowej Nr 1374B na odcinku od drogi powiatowej Nr 1838B do m. Zajki</t>
  </si>
  <si>
    <t>07.2025 - 06.2026</t>
  </si>
  <si>
    <t>Remont drogi powiatowe3j nr 1611B na odcinku Czyże - Podrzeczany gmina Czyże powiat hajnowski województwo podlaskie</t>
  </si>
  <si>
    <t>04.2025 - 10.2025</t>
  </si>
  <si>
    <t>Rozbudowa drogi powiatowej Nr 1364B na odcinku od m. Kiślak do drogi powiatowej Nr 1841B w m. Kulesze</t>
  </si>
  <si>
    <t xml:space="preserve">Rozbudowa drogi powiatowej Nr 1404B na odcinku od m. Przytulanka do granicy gminy Knyszyn - odcinek I </t>
  </si>
  <si>
    <t>Przebudowa drogi powiatowej nr 1716B na odcinku Aleksandrowo-Makarki</t>
  </si>
  <si>
    <t>04.2025 - 09.2025</t>
  </si>
  <si>
    <t>Remont drogi powiatowej Nr 1448B na odcinku Podozierany - granica Gminy Michałowo (Gm. Gródek)</t>
  </si>
  <si>
    <t>Przebudowa i rozbudowa dojazdów stanowiących drogę powiatową nr 1954B wraz z przebudową i rozbudową obiektu mostowego nr JNI 01028678 w m. Podosie</t>
  </si>
  <si>
    <t>06.2025 - 05.2026</t>
  </si>
  <si>
    <t>Remont drogi powiatowej Nr 2065B na odc. Dworaki Staśki - Sokoły</t>
  </si>
  <si>
    <t>06.2025 - 10.2028</t>
  </si>
  <si>
    <t xml:space="preserve">Przebudowa drogi powiatowej nr 1713B  na odcinku Grodzisk - Kozłowo </t>
  </si>
  <si>
    <t>04.2025 - 07.2026</t>
  </si>
  <si>
    <t>Przebudowa drogi powiatowej nr 2036B Paproć Duża - granica województwa</t>
  </si>
  <si>
    <t>Przebudowa z rozbudową drogi powiatowej nr 2020B na odcinku Zaręby-Kramki - Zaręby-Grzymały (granica województwa)</t>
  </si>
  <si>
    <t>02.2025 - 11.2026</t>
  </si>
  <si>
    <t>Przebudowa i rozbudowa drogi powiatowej nr 1957B w m. Miastkowo (ul. Świerkowa)</t>
  </si>
  <si>
    <t>10.2025 - 11.2027</t>
  </si>
  <si>
    <t>Przebudowa odcinka drogi powiatowej nr 1129B Wiżajny - Ejszeryszki - Rutka Tartak, Gmina Wiżajny</t>
  </si>
  <si>
    <t>04.2025 - 12.2025</t>
  </si>
  <si>
    <t>Przebudowa z rozbudową drogi powiatowej nr 1501B w m. Zalesiany (Gm. Turośń Kościelna)</t>
  </si>
  <si>
    <t>Przebudowa odcinków dróg powiatowych w miejscowości Kaletnik, Gmina Szypliszki</t>
  </si>
  <si>
    <t>Przebudowa drogi powiatowej nr 1179B Berżniki - Zelwa</t>
  </si>
  <si>
    <t>05.2025 - 09.2025</t>
  </si>
  <si>
    <t>Rozbudowa i przebudowa drogi powiatowej nr 1619B w miejscowości Nowoberezowo - ETAP II</t>
  </si>
  <si>
    <t>05.2025 - 04.2026</t>
  </si>
  <si>
    <t>Rozbudowa ronda w ciągu drogi powiatowej Nr 2077B w m. Klukowo</t>
  </si>
  <si>
    <t>06.2025 - 10.2027</t>
  </si>
  <si>
    <t>Przebudowa drogi powiatowej 1320B od skrzyżowania z drogą powiatową 1308B do granicy powiatu białostockiego na terenie gminy Korycin w powiecie sokólskim</t>
  </si>
  <si>
    <t>01.2025 - 06.2027</t>
  </si>
  <si>
    <t xml:space="preserve">Remont drogi powiatowej nr 1740B na odcinku Sobiatyno - Milejczyce  </t>
  </si>
  <si>
    <t>Przebudowa i rozbudowa drogi powiatowej Nr 1764B Dydule - Gredele</t>
  </si>
  <si>
    <t>Przebudowa z rozbudową DP nr 1809B na odcinku linia kolejowa Rail Baltica – Pieniążki</t>
  </si>
  <si>
    <t>10.2025-09.2026</t>
  </si>
  <si>
    <t>Przebudowa z rozbudową drogi powiatowej nr 1377B na odcinku Tykocin - Kiermusy - Nieciece - Łopuchowo - Etap I (Gm. Tykocin)</t>
  </si>
  <si>
    <t>Przebudowa drogi powiatowej 1308B na odcinku od DK8 do skrzyżowania z drogą gminną w miejscowości Przesławka na terenie gminy Korycin w powiecie sokólskim</t>
  </si>
  <si>
    <t>Rozbudowa odcinka dróg powiatowych 1405B i 1420B na terenie gminy Korycin w powiecie sokólskim</t>
  </si>
  <si>
    <t>Przebudowa z rozbudową drogi powiatowej Nr 1479B na odcinku Kolonia Koplany - Brończany - Stacja Lewickie - etap I (Gm. Juchnowiec Kościelny)</t>
  </si>
  <si>
    <t>Rozbudowa DP nr 1811B na odcinku Guty – Bzury</t>
  </si>
  <si>
    <t>Rozbudowa drogi powiatowej nr 1934B Drozdowo - Niewodowo o dł. ok 1700 m</t>
  </si>
  <si>
    <t>Przebudowa z rozbudową drogi powiatowej nr 1534B droga 678 - Wólka Waniewska (Gm. Łapy)</t>
  </si>
  <si>
    <t>Miasto Łomża</t>
  </si>
  <si>
    <t>Rozbudowa DP 2602B ul. Nowogrodzkiej w Łomży</t>
  </si>
  <si>
    <t>09.2025 - 11.2027</t>
  </si>
  <si>
    <t>Rozbudowa drogi powiatowej nr 1965B w m. Kramkowo</t>
  </si>
  <si>
    <t>11.2025 - 10.2026</t>
  </si>
  <si>
    <t>Rozbudowa drogi powiatowej nr 1909B w m. Grzymały</t>
  </si>
  <si>
    <t>10.2025 - 09.2026</t>
  </si>
  <si>
    <t>Rozbudowa drogi powiatowej 1308B na odcinku od miejscowości Łosiniec do Sitkowa, na terenie gminy Korycin w powiecie sokólskim</t>
  </si>
  <si>
    <t>06.2025 - 11.2027</t>
  </si>
  <si>
    <t>Przebudowa i rozbudowa drogi powiatowej Nr 1699B Brzeźnica -  Szmurły</t>
  </si>
  <si>
    <t>Przebudowa i rozbudowa drogi powiatowej nr 1914B Pieńki Borowe – DW 668</t>
  </si>
  <si>
    <t>Rozbudowa drogi powiatowej 1296B na terenie gminy Sokółka w powiecie sokólskim</t>
  </si>
  <si>
    <t>Remont drogi powiatowej Nr 2043B na odc. Zawady – Sikory-Wojciechowięta</t>
  </si>
  <si>
    <t>Przebudowa drogi powiatowej nr 1889B w obrębie m. Dębniki i Dobry Las</t>
  </si>
  <si>
    <t>10.2025 - 06.2027</t>
  </si>
  <si>
    <t>Rozbudowa odcinka drogi powiatowej 1264B na terenie gminy Kuźnica w powiecie sokólskim</t>
  </si>
  <si>
    <t>Rozbudowa drogi powiatowej Nr 1576B Falki - Filipy</t>
  </si>
  <si>
    <t>01.2025 - 11.2027</t>
  </si>
  <si>
    <t xml:space="preserve">Rozbudowa drogi powiatowej Nr 1404 B na odcinku od m. Przytulanka do granicy gminy Knyszyn - odcinek II </t>
  </si>
  <si>
    <t>Przebudowa z rozbudową drogi powiatowej Nr 1427B na odcinku Wasilków - Nowodworce (Gm. Wasilków)</t>
  </si>
  <si>
    <t>Rozbudowa DP nr 1817B na odcinku Dziewięcin – Borawskie w km 0+000 ÷ 1+100</t>
  </si>
  <si>
    <t>07.2025-12.2025</t>
  </si>
  <si>
    <t>Przebudowa z rozbudową drogi powiatowej na odcinku Kolonia Leńce - Jurowce na terenie Gminy Wasilków</t>
  </si>
  <si>
    <t>Remont drogi powiatowej Nr 2616B ul. Drohicka w Ciechanowcu</t>
  </si>
  <si>
    <t>Przebudowa drogi powiatowej nr 1982B ulicy Tartak Stary w granicach miejscowości Rutki - Kossaki</t>
  </si>
  <si>
    <t>Przebudowa DP nr 1808B  ul. Przemysłowa w Grajewie w km 0+013 ÷ 0+585</t>
  </si>
  <si>
    <t>09.2025-08.2026</t>
  </si>
  <si>
    <t>Przebudowa z rozbudową drogi powiatowej Nr 1438B Załuki - Kondycja - Borki wraz z budową mostu przez rz. Słoja k/m Kondycja (Gm. Gródek)</t>
  </si>
  <si>
    <t>Rozbudowa drogi powiatowej 1305B od skrzyżowania z DW 671 przez Żuki i Plebanowce do Gilbowszczyzny</t>
  </si>
  <si>
    <t>N</t>
  </si>
  <si>
    <t>W</t>
  </si>
  <si>
    <t>06.2025 -11.2025</t>
  </si>
  <si>
    <t>powiat zambrowski</t>
  </si>
  <si>
    <t>Przebudowa skrzyżowania ulicy Ostrowskiej, Obrońców Zambrowa i Polowej w Zambrowie na skrzyżowanie o ruchu okrężnym</t>
  </si>
  <si>
    <t>03.2025 - 11.2025</t>
  </si>
  <si>
    <t>Gmina Michałowo</t>
  </si>
  <si>
    <t>powiat białostocki</t>
  </si>
  <si>
    <t>Przebudowa drogi wewnętrznej we wsi Cisówka w Gminie Michałowo</t>
  </si>
  <si>
    <t>powiat sokólski</t>
  </si>
  <si>
    <t>Rozbudowa drogi gminnej w miejscowości Wierzchłowce</t>
  </si>
  <si>
    <t>09.2025 - 06.2027</t>
  </si>
  <si>
    <t>Budowa i przebudowa ulicy Wiejskiej w Oliszkach</t>
  </si>
  <si>
    <t>01.2025 - 11.2025</t>
  </si>
  <si>
    <t xml:space="preserve">Gmina Kulesze Kościelne </t>
  </si>
  <si>
    <t>powiat wysokomazowiecki</t>
  </si>
  <si>
    <t>Remont drogi gminnej nr 151192B w m. Niziołki Dobki</t>
  </si>
  <si>
    <t>Gmina Łapy</t>
  </si>
  <si>
    <t>Przebudowa ul. Głuchej i ul. Żabiej w Łapach</t>
  </si>
  <si>
    <t>Gmina Augustów</t>
  </si>
  <si>
    <t>powiat augustowski</t>
  </si>
  <si>
    <t>Budowa drogi gminnej wraz z rozbiórką istniejącego mostu i budową nowego obiektu mostowego przez rzekę Rospuda w miejscowości Topiłówka</t>
  </si>
  <si>
    <t>01.2025 - 03.2027</t>
  </si>
  <si>
    <t>Gmina Orla</t>
  </si>
  <si>
    <t>powiat bielski</t>
  </si>
  <si>
    <t>Rozbudowa, przebudowa części drogi gminnej Nr 108285B - ul. Partyzantów oraz części drogi gminnej Nr 108293B - ul. Żwirki i Wigury w Orli</t>
  </si>
  <si>
    <t>03.2025 - 11.2026</t>
  </si>
  <si>
    <t>Gmina Bargłów Kościelny</t>
  </si>
  <si>
    <t>Rozbudowa drogi gminnej Kamionka Stara - Kamionka Nowa, gm. Bargłów Kościelny</t>
  </si>
  <si>
    <t>05.2025 - 10.2025</t>
  </si>
  <si>
    <t>Remont drogi gminnej nr 107576B w miejscowości Łukawica</t>
  </si>
  <si>
    <t>Gmina Juchnowiec Kościelny</t>
  </si>
  <si>
    <t>Przebudowa części ul. Tarasiuka oraz części ul. Walerowskiego w Kleosinie</t>
  </si>
  <si>
    <t>Przebudowa drogi gminnej nr 106871B w Folwarkach Tylwickich gmina Zabłudów</t>
  </si>
  <si>
    <t>Gmina Jedwabne</t>
  </si>
  <si>
    <t>powiat łomżyński</t>
  </si>
  <si>
    <t>Przebudowa drogi w miejscowości Rostki, gm. Jedwabne</t>
  </si>
  <si>
    <t>Budowa drogi gminnej w Rosochatem Kościelnem</t>
  </si>
  <si>
    <t>Przebudowa ul. Spokojnej w Uhowie, gm. Łapy - II etap</t>
  </si>
  <si>
    <t>03.2025 -11.2025</t>
  </si>
  <si>
    <t>Gmina Narew</t>
  </si>
  <si>
    <t>powiat hajnowski</t>
  </si>
  <si>
    <t>Budowa drogi gminnej odchodzącej od ul. Cichej w miejscowości Narew Gmina Narew</t>
  </si>
  <si>
    <t>04.2025 - 06.2025</t>
  </si>
  <si>
    <t>Remont drogi gminnej - przedłużenie ul. Wrzosowej w mieście Hajnówka</t>
  </si>
  <si>
    <t>Gmina Puńsk</t>
  </si>
  <si>
    <t>powiat sejneński</t>
  </si>
  <si>
    <t>Przebudowa i rozbudowa drogi gminnej Nr 101721B w miejscowości Szlinokiemie</t>
  </si>
  <si>
    <t>05.2025 - 11.2025</t>
  </si>
  <si>
    <t>Przebudowa drogi gminnej Nr 135504 B Tajno Stare, gm. Bargłów Kościelny</t>
  </si>
  <si>
    <t>Gmina Dobrzyniewo Duże</t>
  </si>
  <si>
    <t>Przebudowa drogi wewnętrznej na działkach o nr geod. 209, 210 w m. Krynice, gmina Dobrzyniewo Duże</t>
  </si>
  <si>
    <t>Gmina Bakałarzewo</t>
  </si>
  <si>
    <t>powiat suwalski</t>
  </si>
  <si>
    <t>Przebudowa ul. Inwestycyjnej i części ul. Lipowej w Bakałarzewie</t>
  </si>
  <si>
    <t>10.2025 - 11.2026</t>
  </si>
  <si>
    <t>Gmina Giby</t>
  </si>
  <si>
    <t>Przebudowa drogi gminnej nr 102332B Pomorze - Budziewizna - Bosse</t>
  </si>
  <si>
    <t>03.2025 - 10.2025</t>
  </si>
  <si>
    <t>Gmina Turośń Kościelna</t>
  </si>
  <si>
    <t>Przebudowa drogi gminnej na odcinku od m. Zalesiany do projektowanego przebiegu S-19</t>
  </si>
  <si>
    <t>07.2025 - 09.2026</t>
  </si>
  <si>
    <t xml:space="preserve">Gmina Wasilków </t>
  </si>
  <si>
    <t>Przebudowa ul. Podleśnej w Wasilkowie</t>
  </si>
  <si>
    <t xml:space="preserve">Gmina Supraśl </t>
  </si>
  <si>
    <t>Rozbudowa ulicy Szosa Supraska w Grabówce wraz z niezbędną infrastrukturą techniczną</t>
  </si>
  <si>
    <t>Gmina Sokoły</t>
  </si>
  <si>
    <t>Remont drogi gminnej nr 106390B w miejscowości Kruszewo Brodowo - Idźki Średnie</t>
  </si>
  <si>
    <t>powiat siemiatycki</t>
  </si>
  <si>
    <t>Remont ulic Józefa Kraszewskiego i Marii Konopnickiej w Siemiatyczach</t>
  </si>
  <si>
    <t>Przebudowa drogi gminnej Kuriany - Halickie - etap II</t>
  </si>
  <si>
    <t>Przebudowa dróg nr 107017B i Nr 107021B na terenie Michałowa</t>
  </si>
  <si>
    <t>Przebudowa odcinka ulicy Zachodniej w Siemiatyczach</t>
  </si>
  <si>
    <t>Gmina Korycin</t>
  </si>
  <si>
    <t>Przebudowa i rozbudowa drogi gminnej w Rykaczewie</t>
  </si>
  <si>
    <t>Gmina Narewka</t>
  </si>
  <si>
    <t>Przebudowa drogi gminnej Nr 107093B DP1640 - Krynica</t>
  </si>
  <si>
    <t>Gmina Filipów</t>
  </si>
  <si>
    <t>Rozbiórka istniejącego obiektu mostowego oraz budowa nowego mostu na rzece Zuśnianka w ciągu drogi gminnej nr 101853B w miejscowości Zusno, gmina Filipów</t>
  </si>
  <si>
    <t>01.2025 - 10.2025</t>
  </si>
  <si>
    <t>Gmina Bielsk Podlaski</t>
  </si>
  <si>
    <t>Rozbudowa drogi gminnej nr 107454B Knorozy - Sobótka</t>
  </si>
  <si>
    <t>Gmina Grajewo</t>
  </si>
  <si>
    <t>powiat grajewski</t>
  </si>
  <si>
    <t>Przebudowa z rozbudową drogi gminnej Nr 103330 B relacji Wojewodzin - Popowo w km 0+000 - 2+429</t>
  </si>
  <si>
    <t>03.2025 - 08.2025</t>
  </si>
  <si>
    <t>Gmina Szepietowo</t>
  </si>
  <si>
    <t>Rozbudowa drogi gminnej nr 107714B Wojny-Krupy - Wojny-Pogorzel</t>
  </si>
  <si>
    <t>Gmina Szczuczyn</t>
  </si>
  <si>
    <t>Przebudowa drogi gminnej nr 104234 Bęćkowo - Zacieczki gm. Szczuczyn</t>
  </si>
  <si>
    <t xml:space="preserve">Gmina Sejny </t>
  </si>
  <si>
    <t>Przebudowa drogi gminnej nr 101742B Sankury - Burbiszki - Granica Państwa</t>
  </si>
  <si>
    <t>02.2025 - 11.2025</t>
  </si>
  <si>
    <t>Budowa dróg oraz skrzyżowania z drogą krajową nr 63 w rejonie ROD pod Długoborzem w Zambrowie</t>
  </si>
  <si>
    <t>03.2025 - 10.2026</t>
  </si>
  <si>
    <t>Gmina Zambrów</t>
  </si>
  <si>
    <t>Rozbudowa drogi gminnej nr 106013B w miejscowości Łady-Borowe, gmina Zambrów</t>
  </si>
  <si>
    <t>Gmina Wyszki</t>
  </si>
  <si>
    <t>Przebudowa odcinków drogi gminnej Nr 107535B i Nr 107537B w miejscowości Stare Bagińskie - Kożuszki</t>
  </si>
  <si>
    <t>02.2025 - 10.2027</t>
  </si>
  <si>
    <t>Gmina Łomża</t>
  </si>
  <si>
    <t>Przebudowa drogi gminnej nr 105681B Stare Kupiski - Jednaczewo</t>
  </si>
  <si>
    <t>10.2025 - 12.2027</t>
  </si>
  <si>
    <t xml:space="preserve">Przebudowa drogi gminnej w Popiołówce </t>
  </si>
  <si>
    <t>06.2025 - 10.2025</t>
  </si>
  <si>
    <t>Miasto Suwałki</t>
  </si>
  <si>
    <t>Przebudowa  ul. Wylotowej i Kolejowej wraz ze skrzyżowaniem z DW nr 655</t>
  </si>
  <si>
    <t>Gmina Rutka-Tartak</t>
  </si>
  <si>
    <t>Przebudowa dróg gminnych nr 101586B oraz nr 101587B w miejscowości Folusz, Gmina Rutka-Tartak</t>
  </si>
  <si>
    <t>Przebudowa z rozbudową drogi gminnej nr 102718B w miejscowości Rubcowo, gmina Płaska</t>
  </si>
  <si>
    <t>Przebudowa drogi gminnej nr 102301B Giby - Pomorze</t>
  </si>
  <si>
    <t>Budowa ulicy Ekologicznej w Grajewie od km 1+650 do km 2+242</t>
  </si>
  <si>
    <t>Gmina Rajgród</t>
  </si>
  <si>
    <t>Przebudowa dróg gminnych w m. Biebrza</t>
  </si>
  <si>
    <t>Przebudowa ul. Tęczowej i ul. Słonecznej w Łapach - etap I</t>
  </si>
  <si>
    <t>Przebudowa drogi gminnej w msc. Czerwony Folwark, gm. Suwałki</t>
  </si>
  <si>
    <t>Gmina Turośl</t>
  </si>
  <si>
    <t>powiat kolneński</t>
  </si>
  <si>
    <t>Przebudowa drogi gminnej nr 107537B na odcinku o długości ok. 130 m oraz drogi gminnej nr 170536B na odcinku o długości ok. 150 m w miejscowości Cieloszka</t>
  </si>
  <si>
    <t>Gmina Siemiatycze</t>
  </si>
  <si>
    <t>Przebudowa drogi gminnej Nr 109497B w m. Anusin na terenie Gminy Siemiatycze</t>
  </si>
  <si>
    <t>01.2025-12.2025</t>
  </si>
  <si>
    <t xml:space="preserve">Gmina Suraż </t>
  </si>
  <si>
    <t>Budowa drogi gminnej nr 106650B w m. Średzińskie, gm. Suraż</t>
  </si>
  <si>
    <t>02.2025 - 10.2026</t>
  </si>
  <si>
    <t>Przebudowa z rozbudową ul. I. Mościckiego w Sokółce</t>
  </si>
  <si>
    <t>Gmina Czarna Białostocka</t>
  </si>
  <si>
    <t>Przebudowa z rozbudową ul. Podleśnej w Czarnej Białostockiej wraz ze zjazdami i niezbędną infrastrukturą techniczną</t>
  </si>
  <si>
    <t>Gmina Kleszczele</t>
  </si>
  <si>
    <t>Przebudowa ulicy Leśnej w miejscowości Kleszczele</t>
  </si>
  <si>
    <t>Gmina Szypliszki</t>
  </si>
  <si>
    <t>Przebudowa drogi gminnej Węgielnia - Bilwinowo</t>
  </si>
  <si>
    <t>Przebudowa ul. Owocowej oraz rozbudowa ul. Talesa z Miletu w Łomży</t>
  </si>
  <si>
    <t>Przebudowa drogi gminnej nr 103605B Słomianka - granica gminy</t>
  </si>
  <si>
    <t>Przebudowa drogi gminnej relacji Siennica Gizy - Siennica Łukasze wraz z przebudową mostu na rzece Siennica</t>
  </si>
  <si>
    <t>Gmina Sztabin</t>
  </si>
  <si>
    <t>Przebudowa dróg gminnych we wsi Lebiedzin</t>
  </si>
  <si>
    <t>03.2025 - 09.2025</t>
  </si>
  <si>
    <t>Gmina Knyszyn</t>
  </si>
  <si>
    <t>powiat moniecki</t>
  </si>
  <si>
    <t>Budowa/rozbudowa drogi gminnej Nr 104814B - ul. Północna w Knyszynie wraz z towarzyszącą infrastrukturą techniczną</t>
  </si>
  <si>
    <t>12.2025 - 11.2026</t>
  </si>
  <si>
    <t>Przebudowa drogi gminnej nr 104443B relacji Leman-Łączki</t>
  </si>
  <si>
    <t>Rozbudowa drogi gminnej nr 106050B w miejscowości Tarnowo-Goski, gmina Zambrów</t>
  </si>
  <si>
    <t>Budowa z rozbudową części ul. Felkowo w Turośni Kościelnej</t>
  </si>
  <si>
    <t>Budowa ulicy Diamentowej w Krupnikach gm. Choroszcz</t>
  </si>
  <si>
    <t>01.2025 - 09.2025</t>
  </si>
  <si>
    <t>Budowa drogi nr 106558B w miejscowości Łapy-Łynki – etap II</t>
  </si>
  <si>
    <t>06.2025 - 06.2027</t>
  </si>
  <si>
    <t>Budowa z rozbudową ul. Działkowców w Niewodnicy Kościelnej oraz części ul. Sosnowej w Zalesianach</t>
  </si>
  <si>
    <t>Robudowa i przebudowa drogi gminnej w miejscowości Brulino Koski</t>
  </si>
  <si>
    <t>Przebudowa dróg gminnych ul. Klonowa i Akacjowa w Czyżewie</t>
  </si>
  <si>
    <t>Rozbudowa drogi gminnej Nr 107381B ul. Gajowej na odcinku od ul. Dubiażyńskiej do ul. Strzelniczej</t>
  </si>
  <si>
    <t>Przebudowa ul. 1-ego Maja i ul. Plac Kościuszki wraz z parkingami i infrastrukturą techniczną w Sokółce</t>
  </si>
  <si>
    <t>Budowa drogi łączącej drogę powiatową Nr 1552B - ul. Sienkiewicza z drogą gminną - ul. Branickiego oraz rozbudowa drogi gminnej Nr 106288B - ul. Szpitalna w Choroszczy</t>
  </si>
  <si>
    <t>Przebudowa drogi gminnej nr 104255B na odcinku ul. Falkowskiego w m. Szczuczyn</t>
  </si>
  <si>
    <t xml:space="preserve">Budowa drogi nr 106564B w miejscowości Łapy-Kołpaki, gm. Łapy </t>
  </si>
  <si>
    <t>Budowa ulicy Żurawiej w Wasilkowie - Etap I</t>
  </si>
  <si>
    <t>Budowa/rozbudowa drogi gminnej Nr 104818B - ul. Zamoyskiego w Knyszynie</t>
  </si>
  <si>
    <t>12.2025 - 07.2026</t>
  </si>
  <si>
    <t>Budowa drogi gminnej wraz z rozbiórką istniejącego mostu i budową nowego obiektu mostowego przez rzekę Turówka w miejscowości Białobrzegi w ciągu drogi gminnej Żarnowo II - Białobrzegi</t>
  </si>
  <si>
    <t>09.2025 - 11.2026</t>
  </si>
  <si>
    <t>Przebudowa drogi gminnej nr 107475B Ogrodniki - Pasynki</t>
  </si>
  <si>
    <t>Przebudowa drogi gminnej nr 104651B relacji Witynie - Chrostowo</t>
  </si>
  <si>
    <t>Przebudowa drogi gminnej nr 102833B Cisów - Balinka</t>
  </si>
  <si>
    <t>Poprawa bezpieczeństwa ruchu w obrębie szkół poprzez przebudowę ulic Osiedla Zorza w Wysokiem Mazowieckiem</t>
  </si>
  <si>
    <t>Rozbudowa i przebudowa dróg gminnych w m. Przestrzele</t>
  </si>
  <si>
    <t>Przebudowa drogi gminnej nr 105451B Borsukówka - Kozińce, gmina Dobrzyniewo Duże</t>
  </si>
  <si>
    <t xml:space="preserve">Gmina Hajnówka </t>
  </si>
  <si>
    <t>Rozbudowa i przebudowa odcinka drogi gminnej nr 108571B - ulica Torowa w Dubinach</t>
  </si>
  <si>
    <t>03.2025 - 02.2026</t>
  </si>
  <si>
    <t>Przebudowa ulicy we wsi Krasnoborki</t>
  </si>
  <si>
    <t>Gmina Trzcianne</t>
  </si>
  <si>
    <t>Przebudowa drogi gminnej Nr 104716B od drogi powiatowej Nr 1841B Krypno Wielkie – Downary do m. Stare Bajki od km 2+000 do km 3+200</t>
  </si>
  <si>
    <t>Budowa ul. Wisławy Szymborskiej od ul. Cz. Miłosza do ul. S. Staniszewskiego wraz z uzbrojeniem technicznym w Suwałkach.</t>
  </si>
  <si>
    <t>Budowa ul. H. Sienkiewicza i ul. K. I. Gałczyńskiego w Sokółce oraz rozbudowa  ul. C.K. Norwida w Sokółce</t>
  </si>
  <si>
    <t>Przebudowa ul. Kołłątaja i części ul. Boh. Monte Casino w Sokółce wraz z infrastrukturą towarzyszącą</t>
  </si>
  <si>
    <t>Przebudowa drogi gminnej nr 102318B Karolin - Pogorzelec</t>
  </si>
  <si>
    <t>Gmina Piątnica</t>
  </si>
  <si>
    <t>Przebudowa z rozbudową drogi gminnej nr 105658B Budy Czarnockie - Murawy kolonia wraz z przepustem na rz. Penza</t>
  </si>
  <si>
    <t>Budowa i przebudowa dróg gminnych - ul. Dolnej, Równoległej, Poprzecznej i Krótkiej w m. Klepacze</t>
  </si>
  <si>
    <t>01.2025-11.2025</t>
  </si>
  <si>
    <t>Rozbudowa ul. Piaski (DG 101089B) oraz przebudowa ul. Kalinowej (DG 101185B) w Łomży</t>
  </si>
  <si>
    <t>Budowa drogi o oznaczeniu KDL3 z rozbudową ul. Łąkowej w Wasilkowie</t>
  </si>
  <si>
    <t>Przebudowa ul. Pułkowej (DG 101190B) i rozbudowa ul. W. Łukasińskiego (DG 101068B) w Łomży</t>
  </si>
  <si>
    <t>Gmina Mielnik</t>
  </si>
  <si>
    <t>Budowa i przebudowa drogi gminnej nr 109611B - ul. Popław w Mielniku</t>
  </si>
  <si>
    <t>06.2025 - 12.2026</t>
  </si>
  <si>
    <t>Przebudowa z rozbudową drogi gminnej nr 107572B w miejscowości Marynki w km 1+153,5 - 1+640</t>
  </si>
  <si>
    <t>Remont drogi gminnej nr 109672B ulica 33 Pułku Piechoty w Piątnicy</t>
  </si>
  <si>
    <t>05.2025 - 12.2025</t>
  </si>
  <si>
    <t>Przebudowa drogi gminnej nr 105787B ul. Olszowa we wsi Konarzyce</t>
  </si>
  <si>
    <t>Remont ul. Szarych Szeregów i odcinka ul. Młodych Orłów w Siemiatyczach.</t>
  </si>
  <si>
    <t>Przebudowa drogi gminnej ul. Nowa</t>
  </si>
  <si>
    <t>04.2025 - 03.2026</t>
  </si>
  <si>
    <t>Remont drogi gminnej nr 108222B w Mniu</t>
  </si>
  <si>
    <t>07.2025 - 11.2026</t>
  </si>
  <si>
    <t>Gmina Rutki</t>
  </si>
  <si>
    <t>Rozbudowa drogi gminnej nr 106166B Zambrzyce-Króle - Zambrzyce-Plewki</t>
  </si>
  <si>
    <t>07.2025 - 10.2026</t>
  </si>
  <si>
    <t>Przebudowa drogi gminnej Grauże Nowe - Kaletnik</t>
  </si>
  <si>
    <t>Przebudowa drogi gminnej w obrębie Giełczyn, gmina Trzcianne</t>
  </si>
  <si>
    <t>Przebudowa drogi powiatowej nr 1716B na odcinku DW 692 - Aleksandrowo</t>
  </si>
  <si>
    <t>* Kwota dofinansowania 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</si>
  <si>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* Kwota dofinansowania zadań wieloletnich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</si>
  <si>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32</t>
    </r>
    <r>
      <rPr>
        <b/>
        <sz val="16"/>
        <color theme="5"/>
        <rFont val="Arial"/>
        <family val="2"/>
        <charset val="238"/>
      </rPr>
      <t>*</t>
    </r>
  </si>
  <si>
    <r>
      <t>48</t>
    </r>
    <r>
      <rPr>
        <b/>
        <sz val="16"/>
        <color theme="5"/>
        <rFont val="Arial"/>
        <family val="2"/>
        <charset val="238"/>
      </rPr>
      <t>*</t>
    </r>
  </si>
  <si>
    <t>Gmina Gródek</t>
  </si>
  <si>
    <t>Przebudowa drogi gminnej Nr 105077B w Downiewie</t>
  </si>
  <si>
    <t>03.2025 - 06.2025</t>
  </si>
  <si>
    <t>09.2025 - 09.2026</t>
  </si>
  <si>
    <r>
      <t xml:space="preserve">Powiat Wysokomazowiecki </t>
    </r>
    <r>
      <rPr>
        <vertAlign val="subscript"/>
        <sz val="10"/>
        <color rgb="FFFF0000"/>
        <rFont val="Arial"/>
        <family val="2"/>
        <charset val="238"/>
      </rPr>
      <t>x1)</t>
    </r>
  </si>
  <si>
    <r>
      <t xml:space="preserve">Powiat Bielski </t>
    </r>
    <r>
      <rPr>
        <vertAlign val="superscript"/>
        <sz val="10"/>
        <color rgb="FFFF0000"/>
        <rFont val="Arial"/>
        <family val="2"/>
        <charset val="238"/>
      </rPr>
      <t>x1)</t>
    </r>
  </si>
  <si>
    <t>09.2024 - 06.2026</t>
  </si>
  <si>
    <r>
      <t xml:space="preserve">Powiat Wysokomazowiecki </t>
    </r>
    <r>
      <rPr>
        <vertAlign val="superscript"/>
        <sz val="10"/>
        <color rgb="FFFF0000"/>
        <rFont val="Arial"/>
        <family val="2"/>
        <charset val="238"/>
      </rPr>
      <t>x1)</t>
    </r>
  </si>
  <si>
    <r>
      <t xml:space="preserve">Gmina Kulesze Koscielne </t>
    </r>
    <r>
      <rPr>
        <vertAlign val="superscript"/>
        <sz val="10"/>
        <color rgb="FFFF0000"/>
        <rFont val="Arial"/>
        <family val="2"/>
        <charset val="238"/>
      </rPr>
      <t>x1)</t>
    </r>
  </si>
  <si>
    <t>07.2024 - 10.2025</t>
  </si>
  <si>
    <r>
      <t xml:space="preserve">Gmina Wysokie Mazowieckie </t>
    </r>
    <r>
      <rPr>
        <vertAlign val="superscript"/>
        <sz val="10"/>
        <color rgb="FFFF0000"/>
        <rFont val="Arial"/>
        <family val="2"/>
        <charset val="238"/>
      </rPr>
      <t>x1)</t>
    </r>
  </si>
  <si>
    <r>
      <t xml:space="preserve">Gmina Poświętne </t>
    </r>
    <r>
      <rPr>
        <vertAlign val="superscript"/>
        <sz val="10"/>
        <color indexed="10"/>
        <rFont val="Arial"/>
        <family val="2"/>
        <charset val="238"/>
      </rPr>
      <t>x1)</t>
    </r>
  </si>
  <si>
    <r>
      <t xml:space="preserve">Gmina Nurzec-Stacja </t>
    </r>
    <r>
      <rPr>
        <vertAlign val="superscript"/>
        <sz val="10"/>
        <color indexed="10"/>
        <rFont val="Arial"/>
        <family val="2"/>
        <charset val="238"/>
      </rPr>
      <t>x1)</t>
    </r>
  </si>
  <si>
    <t>08.2024 - 07.2025</t>
  </si>
  <si>
    <r>
      <t xml:space="preserve">Gmina Przytuły </t>
    </r>
    <r>
      <rPr>
        <vertAlign val="superscript"/>
        <sz val="10"/>
        <color rgb="FFFF0000"/>
        <rFont val="Arial"/>
        <family val="2"/>
        <charset val="238"/>
      </rPr>
      <t>x1)</t>
    </r>
  </si>
  <si>
    <r>
      <t xml:space="preserve">Gmina Suwałki </t>
    </r>
    <r>
      <rPr>
        <vertAlign val="superscript"/>
        <sz val="10"/>
        <color indexed="10"/>
        <rFont val="Arial"/>
        <family val="2"/>
        <charset val="238"/>
      </rPr>
      <t>x1</t>
    </r>
  </si>
  <si>
    <t>Budowa drogi gminnej w miejscowości Wierzchłowce</t>
  </si>
  <si>
    <t>Gmina Dąbrowa Białostocka</t>
  </si>
  <si>
    <t>Przebudowa drogi gminnej nr 124503B w Dąbrowie Białostockiej</t>
  </si>
  <si>
    <t>09.2024 - 08.2026</t>
  </si>
  <si>
    <t>Przebudowa drogi gminnej na działce o nr ewid. 444/2, obręb Łozowo w gminie Dąbrowa Białostocka</t>
  </si>
  <si>
    <t>Rozbudowa drogi gminnej nr 101157B ul. Ks. Kard. Wyszyńskiego w Łomży</t>
  </si>
  <si>
    <t>09.2024 - 11.2025</t>
  </si>
  <si>
    <t>Gmina Grabowo</t>
  </si>
  <si>
    <t>Rozbudowa części drogi gminnej nr 104270B relacji Konopki-Białystok - Wiszowate</t>
  </si>
  <si>
    <t>09.2024 - 10.2025</t>
  </si>
  <si>
    <t>Przebudowa drogi gminnej w miejscowości Zareby Góry Leśne</t>
  </si>
  <si>
    <t>Przebudowa ul. Porucznika Łagody (DG 101065B) w Łomży</t>
  </si>
  <si>
    <t>Budowa dróg gminnych, ulice: Agnieszki Osieckiej, Czesława Niemena i Marka Grechuty w Sokółce wraz z infrastrukturą techniczną</t>
  </si>
  <si>
    <t>Budowa ulicy Serwisowej w Łyskach, gm. Choroszcz</t>
  </si>
  <si>
    <t>Przebudowa drogi gminnej ulicy Sadowej etap II w m. Dobrzyniewo Duże</t>
  </si>
  <si>
    <t>Rozbudowa i przebudowa ulic: Powstania Styczniowego i Rumiankowej w Choroszczy wraz z rozbudową i przebudową niezbędnej infrastruktury technicznej</t>
  </si>
  <si>
    <t>04.2024 - 09.2025</t>
  </si>
  <si>
    <t>08.2024 - 03.2025</t>
  </si>
  <si>
    <r>
      <t>58</t>
    </r>
    <r>
      <rPr>
        <b/>
        <sz val="16"/>
        <color theme="5"/>
        <rFont val="Arial"/>
        <family val="2"/>
        <charset val="238"/>
      </rPr>
      <t>*</t>
    </r>
  </si>
  <si>
    <r>
      <t>31</t>
    </r>
    <r>
      <rPr>
        <b/>
        <sz val="16"/>
        <color rgb="FF00B050"/>
        <rFont val="Arial"/>
        <family val="2"/>
        <charset val="238"/>
      </rPr>
      <t>*</t>
    </r>
  </si>
  <si>
    <r>
      <t>32</t>
    </r>
    <r>
      <rPr>
        <b/>
        <sz val="16"/>
        <color rgb="FF00B050"/>
        <rFont val="Arial"/>
        <family val="2"/>
        <charset val="238"/>
      </rPr>
      <t>*</t>
    </r>
  </si>
  <si>
    <r>
      <t>25</t>
    </r>
    <r>
      <rPr>
        <b/>
        <sz val="16"/>
        <color rgb="FF00B050"/>
        <rFont val="Arial"/>
        <family val="2"/>
        <charset val="238"/>
      </rPr>
      <t>*</t>
    </r>
  </si>
  <si>
    <r>
      <t>26</t>
    </r>
    <r>
      <rPr>
        <b/>
        <sz val="16"/>
        <color rgb="FF00B050"/>
        <rFont val="Arial"/>
        <family val="2"/>
        <charset val="238"/>
      </rPr>
      <t>*</t>
    </r>
  </si>
  <si>
    <r>
      <t>27</t>
    </r>
    <r>
      <rPr>
        <b/>
        <sz val="16"/>
        <color rgb="FF00B050"/>
        <rFont val="Arial"/>
        <family val="2"/>
        <charset val="238"/>
      </rPr>
      <t>*</t>
    </r>
  </si>
  <si>
    <r>
      <rPr>
        <sz val="10"/>
        <color rgb="FF00B050"/>
        <rFont val="Arial"/>
        <family val="2"/>
        <charset val="238"/>
      </rPr>
      <t>28</t>
    </r>
    <r>
      <rPr>
        <b/>
        <sz val="16"/>
        <color rgb="FF00B050"/>
        <rFont val="Arial"/>
        <family val="2"/>
        <charset val="238"/>
      </rPr>
      <t>*</t>
    </r>
  </si>
  <si>
    <r>
      <t>19</t>
    </r>
    <r>
      <rPr>
        <b/>
        <sz val="16"/>
        <color rgb="FF00B050"/>
        <rFont val="Arial"/>
        <family val="2"/>
        <charset val="238"/>
      </rPr>
      <t>*</t>
    </r>
  </si>
  <si>
    <r>
      <t>20</t>
    </r>
    <r>
      <rPr>
        <b/>
        <sz val="16"/>
        <color rgb="FF00B050"/>
        <rFont val="Arial"/>
        <family val="2"/>
        <charset val="238"/>
      </rPr>
      <t>*</t>
    </r>
  </si>
  <si>
    <r>
      <t>21</t>
    </r>
    <r>
      <rPr>
        <b/>
        <sz val="16"/>
        <color rgb="FF00B050"/>
        <rFont val="Arial"/>
        <family val="2"/>
        <charset val="238"/>
      </rPr>
      <t>*</t>
    </r>
  </si>
  <si>
    <r>
      <t>22</t>
    </r>
    <r>
      <rPr>
        <b/>
        <sz val="16"/>
        <color rgb="FF00B050"/>
        <rFont val="Arial"/>
        <family val="2"/>
        <charset val="238"/>
      </rPr>
      <t>*</t>
    </r>
  </si>
  <si>
    <r>
      <t>23</t>
    </r>
    <r>
      <rPr>
        <b/>
        <sz val="16"/>
        <color rgb="FF00B050"/>
        <rFont val="Arial"/>
        <family val="2"/>
        <charset val="238"/>
      </rPr>
      <t>*</t>
    </r>
  </si>
  <si>
    <r>
      <t>24</t>
    </r>
    <r>
      <rPr>
        <b/>
        <sz val="16"/>
        <color rgb="FF00B050"/>
        <rFont val="Arial"/>
        <family val="2"/>
        <charset val="238"/>
      </rPr>
      <t>*</t>
    </r>
  </si>
  <si>
    <r>
      <t>25</t>
    </r>
    <r>
      <rPr>
        <sz val="16"/>
        <color rgb="FF00B050"/>
        <rFont val="Arial"/>
        <family val="2"/>
        <charset val="238"/>
      </rPr>
      <t>*</t>
    </r>
  </si>
  <si>
    <r>
      <t>28</t>
    </r>
    <r>
      <rPr>
        <b/>
        <sz val="16"/>
        <color rgb="FF00B050"/>
        <rFont val="Arial"/>
        <family val="2"/>
        <charset val="238"/>
      </rPr>
      <t>*</t>
    </r>
  </si>
  <si>
    <r>
      <t>29</t>
    </r>
    <r>
      <rPr>
        <b/>
        <sz val="16"/>
        <color rgb="FF00B050"/>
        <rFont val="Arial"/>
        <family val="2"/>
        <charset val="238"/>
      </rPr>
      <t>*</t>
    </r>
  </si>
  <si>
    <r>
      <t>30</t>
    </r>
    <r>
      <rPr>
        <b/>
        <sz val="16"/>
        <color rgb="FF00B050"/>
        <rFont val="Arial"/>
        <family val="2"/>
        <charset val="238"/>
      </rPr>
      <t>*</t>
    </r>
  </si>
  <si>
    <r>
      <t>33</t>
    </r>
    <r>
      <rPr>
        <b/>
        <sz val="16"/>
        <color rgb="FF00B050"/>
        <rFont val="Arial"/>
        <family val="2"/>
        <charset val="238"/>
      </rPr>
      <t>*</t>
    </r>
  </si>
  <si>
    <r>
      <t>34</t>
    </r>
    <r>
      <rPr>
        <b/>
        <sz val="16"/>
        <color rgb="FF00B050"/>
        <rFont val="Arial"/>
        <family val="2"/>
        <charset val="238"/>
      </rPr>
      <t>*</t>
    </r>
  </si>
  <si>
    <r>
      <t>35</t>
    </r>
    <r>
      <rPr>
        <b/>
        <sz val="16"/>
        <color rgb="FF00B050"/>
        <rFont val="Arial"/>
        <family val="2"/>
        <charset val="238"/>
      </rPr>
      <t>*</t>
    </r>
  </si>
  <si>
    <r>
      <t>36</t>
    </r>
    <r>
      <rPr>
        <b/>
        <sz val="16"/>
        <color rgb="FF00B050"/>
        <rFont val="Arial"/>
        <family val="2"/>
        <charset val="238"/>
      </rPr>
      <t>*</t>
    </r>
  </si>
  <si>
    <r>
      <t>37</t>
    </r>
    <r>
      <rPr>
        <b/>
        <sz val="16"/>
        <color rgb="FF00B050"/>
        <rFont val="Arial"/>
        <family val="2"/>
        <charset val="238"/>
      </rPr>
      <t>*</t>
    </r>
  </si>
  <si>
    <r>
      <t>38</t>
    </r>
    <r>
      <rPr>
        <b/>
        <sz val="16"/>
        <color rgb="FF00B050"/>
        <rFont val="Arial"/>
        <family val="2"/>
        <charset val="238"/>
      </rPr>
      <t>*</t>
    </r>
  </si>
  <si>
    <r>
      <rPr>
        <sz val="10"/>
        <color theme="5"/>
        <rFont val="Arial"/>
        <family val="2"/>
        <charset val="238"/>
      </rPr>
      <t>98</t>
    </r>
    <r>
      <rPr>
        <b/>
        <sz val="16"/>
        <color theme="5"/>
        <rFont val="Arial"/>
        <family val="2"/>
        <charset val="238"/>
      </rPr>
      <t>*</t>
    </r>
  </si>
  <si>
    <t>Donald Tusk
/dokument podpisany elektronicznie/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</si>
</sst>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#,##0.000"/>
    <numFmt numFmtId="167" formatCode="0.000"/>
  </numFmts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vertAlign val="superscript"/>
      <sz val="10"/>
      <color indexed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theme="5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6"/>
      <color theme="5"/>
      <name val="Arial"/>
      <family val="2"/>
      <charset val="238"/>
    </font>
    <font>
      <vertAlign val="subscript"/>
      <sz val="10"/>
      <color rgb="FFFF0000"/>
      <name val="Arial"/>
      <family val="2"/>
      <charset val="238"/>
    </font>
    <font>
      <vertAlign val="superscript"/>
      <sz val="10"/>
      <color rgb="FFFF0000"/>
      <name val="Arial"/>
      <family val="2"/>
      <charset val="238"/>
    </font>
    <font>
      <b/>
      <sz val="16"/>
      <color rgb="FF00B050"/>
      <name val="Arial"/>
      <family val="2"/>
      <charset val="238"/>
    </font>
    <font>
      <sz val="16"/>
      <color rgb="FF00B050"/>
      <name val="Arial"/>
      <family val="2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3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wrapText="1" shrinkToFit="1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4" fillId="0" borderId="0" xfId="0" applyFont="1"/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6" fillId="0" borderId="0" xfId="0" applyFont="1" applyFill="1" applyAlignment="1">
      <alignment vertical="center"/>
    </xf>
    <xf numFmtId="4" fontId="16" fillId="0" borderId="0" xfId="0" applyNumberFormat="1" applyFont="1" applyFill="1" applyAlignment="1">
      <alignment vertical="center"/>
    </xf>
    <xf numFmtId="165" fontId="12" fillId="5" borderId="23" xfId="0" applyNumberFormat="1" applyFont="1" applyFill="1" applyBorder="1" applyAlignment="1">
      <alignment vertical="center"/>
    </xf>
    <xf numFmtId="165" fontId="17" fillId="5" borderId="23" xfId="0" applyNumberFormat="1" applyFont="1" applyFill="1" applyBorder="1" applyAlignment="1">
      <alignment vertical="center"/>
    </xf>
    <xf numFmtId="166" fontId="23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9" fontId="23" fillId="2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166" fontId="24" fillId="2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4" fillId="2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4" fontId="22" fillId="0" borderId="1" xfId="0" applyNumberFormat="1" applyFont="1" applyBorder="1" applyAlignment="1">
      <alignment vertical="center" wrapText="1"/>
    </xf>
    <xf numFmtId="4" fontId="24" fillId="0" borderId="1" xfId="0" applyNumberFormat="1" applyFont="1" applyBorder="1" applyAlignment="1">
      <alignment vertical="center" wrapText="1"/>
    </xf>
    <xf numFmtId="165" fontId="17" fillId="3" borderId="1" xfId="0" applyNumberFormat="1" applyFont="1" applyFill="1" applyBorder="1" applyAlignment="1">
      <alignment vertical="center"/>
    </xf>
    <xf numFmtId="165" fontId="12" fillId="4" borderId="1" xfId="0" applyNumberFormat="1" applyFont="1" applyFill="1" applyBorder="1" applyAlignment="1">
      <alignment vertical="center"/>
    </xf>
    <xf numFmtId="165" fontId="13" fillId="6" borderId="1" xfId="0" applyNumberFormat="1" applyFont="1" applyFill="1" applyBorder="1" applyAlignment="1">
      <alignment vertical="center"/>
    </xf>
    <xf numFmtId="165" fontId="12" fillId="3" borderId="1" xfId="0" applyNumberFormat="1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5" fontId="12" fillId="4" borderId="22" xfId="0" applyNumberFormat="1" applyFont="1" applyFill="1" applyBorder="1" applyAlignment="1">
      <alignment vertical="center"/>
    </xf>
    <xf numFmtId="0" fontId="17" fillId="3" borderId="3" xfId="0" applyNumberFormat="1" applyFont="1" applyFill="1" applyBorder="1" applyAlignment="1">
      <alignment vertical="center"/>
    </xf>
    <xf numFmtId="0" fontId="12" fillId="3" borderId="3" xfId="0" applyNumberFormat="1" applyFont="1" applyFill="1" applyBorder="1" applyAlignment="1">
      <alignment vertical="center"/>
    </xf>
    <xf numFmtId="0" fontId="12" fillId="4" borderId="3" xfId="0" applyNumberFormat="1" applyFont="1" applyFill="1" applyBorder="1" applyAlignment="1">
      <alignment vertical="center"/>
    </xf>
    <xf numFmtId="0" fontId="13" fillId="6" borderId="3" xfId="0" applyNumberFormat="1" applyFont="1" applyFill="1" applyBorder="1" applyAlignment="1">
      <alignment vertical="center"/>
    </xf>
    <xf numFmtId="0" fontId="12" fillId="4" borderId="23" xfId="0" applyFont="1" applyFill="1" applyBorder="1" applyAlignment="1">
      <alignment horizontal="left" vertical="center" indent="2"/>
    </xf>
    <xf numFmtId="165" fontId="17" fillId="3" borderId="2" xfId="0" applyNumberFormat="1" applyFont="1" applyFill="1" applyBorder="1" applyAlignment="1">
      <alignment vertical="center"/>
    </xf>
    <xf numFmtId="165" fontId="12" fillId="3" borderId="2" xfId="0" applyNumberFormat="1" applyFont="1" applyFill="1" applyBorder="1" applyAlignment="1">
      <alignment vertical="center"/>
    </xf>
    <xf numFmtId="165" fontId="12" fillId="4" borderId="2" xfId="0" applyNumberFormat="1" applyFont="1" applyFill="1" applyBorder="1" applyAlignment="1">
      <alignment vertical="center"/>
    </xf>
    <xf numFmtId="165" fontId="13" fillId="6" borderId="2" xfId="0" applyNumberFormat="1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165" fontId="17" fillId="3" borderId="3" xfId="0" applyNumberFormat="1" applyFont="1" applyFill="1" applyBorder="1" applyAlignment="1">
      <alignment vertical="center"/>
    </xf>
    <xf numFmtId="165" fontId="12" fillId="3" borderId="3" xfId="0" applyNumberFormat="1" applyFont="1" applyFill="1" applyBorder="1" applyAlignment="1">
      <alignment vertical="center"/>
    </xf>
    <xf numFmtId="165" fontId="12" fillId="4" borderId="3" xfId="0" applyNumberFormat="1" applyFont="1" applyFill="1" applyBorder="1" applyAlignment="1">
      <alignment vertical="center"/>
    </xf>
    <xf numFmtId="165" fontId="13" fillId="6" borderId="3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2" fillId="0" borderId="31" xfId="0" applyNumberFormat="1" applyFont="1" applyFill="1" applyBorder="1" applyAlignment="1">
      <alignment vertical="center"/>
    </xf>
    <xf numFmtId="165" fontId="12" fillId="0" borderId="32" xfId="0" applyNumberFormat="1" applyFont="1" applyFill="1" applyBorder="1" applyAlignment="1">
      <alignment vertical="center"/>
    </xf>
    <xf numFmtId="165" fontId="12" fillId="0" borderId="33" xfId="0" applyNumberFormat="1" applyFont="1" applyFill="1" applyBorder="1" applyAlignment="1">
      <alignment vertical="center"/>
    </xf>
    <xf numFmtId="165" fontId="12" fillId="5" borderId="34" xfId="0" applyNumberFormat="1" applyFont="1" applyFill="1" applyBorder="1" applyAlignment="1">
      <alignment vertical="center"/>
    </xf>
    <xf numFmtId="165" fontId="12" fillId="0" borderId="31" xfId="0" applyNumberFormat="1" applyFont="1" applyFill="1" applyBorder="1" applyAlignment="1">
      <alignment vertical="center"/>
    </xf>
    <xf numFmtId="165" fontId="17" fillId="5" borderId="38" xfId="0" applyNumberFormat="1" applyFont="1" applyFill="1" applyBorder="1" applyAlignment="1">
      <alignment vertical="center"/>
    </xf>
    <xf numFmtId="0" fontId="18" fillId="3" borderId="31" xfId="0" applyNumberFormat="1" applyFont="1" applyFill="1" applyBorder="1" applyAlignment="1">
      <alignment vertical="center"/>
    </xf>
    <xf numFmtId="165" fontId="18" fillId="3" borderId="32" xfId="0" applyNumberFormat="1" applyFont="1" applyFill="1" applyBorder="1" applyAlignment="1">
      <alignment vertical="center"/>
    </xf>
    <xf numFmtId="165" fontId="18" fillId="3" borderId="33" xfId="0" applyNumberFormat="1" applyFont="1" applyFill="1" applyBorder="1" applyAlignment="1">
      <alignment vertical="center"/>
    </xf>
    <xf numFmtId="165" fontId="18" fillId="5" borderId="34" xfId="0" applyNumberFormat="1" applyFont="1" applyFill="1" applyBorder="1" applyAlignment="1">
      <alignment vertical="center"/>
    </xf>
    <xf numFmtId="165" fontId="18" fillId="3" borderId="31" xfId="0" applyNumberFormat="1" applyFont="1" applyFill="1" applyBorder="1" applyAlignment="1">
      <alignment vertical="center"/>
    </xf>
    <xf numFmtId="0" fontId="17" fillId="3" borderId="35" xfId="0" applyNumberFormat="1" applyFont="1" applyFill="1" applyBorder="1" applyAlignment="1">
      <alignment vertical="center"/>
    </xf>
    <xf numFmtId="165" fontId="17" fillId="3" borderId="36" xfId="0" applyNumberFormat="1" applyFont="1" applyFill="1" applyBorder="1" applyAlignment="1">
      <alignment vertical="center"/>
    </xf>
    <xf numFmtId="165" fontId="17" fillId="3" borderId="37" xfId="0" applyNumberFormat="1" applyFont="1" applyFill="1" applyBorder="1" applyAlignment="1">
      <alignment vertical="center"/>
    </xf>
    <xf numFmtId="165" fontId="17" fillId="3" borderId="35" xfId="0" applyNumberFormat="1" applyFont="1" applyFill="1" applyBorder="1" applyAlignment="1">
      <alignment vertical="center"/>
    </xf>
    <xf numFmtId="0" fontId="17" fillId="4" borderId="25" xfId="0" applyFont="1" applyFill="1" applyBorder="1" applyAlignment="1">
      <alignment horizontal="left" vertical="center" indent="2"/>
    </xf>
    <xf numFmtId="0" fontId="17" fillId="4" borderId="26" xfId="0" applyNumberFormat="1" applyFont="1" applyFill="1" applyBorder="1" applyAlignment="1">
      <alignment vertical="center"/>
    </xf>
    <xf numFmtId="165" fontId="17" fillId="4" borderId="4" xfId="0" applyNumberFormat="1" applyFont="1" applyFill="1" applyBorder="1" applyAlignment="1">
      <alignment vertical="center"/>
    </xf>
    <xf numFmtId="165" fontId="17" fillId="4" borderId="7" xfId="0" applyNumberFormat="1" applyFont="1" applyFill="1" applyBorder="1" applyAlignment="1">
      <alignment vertical="center"/>
    </xf>
    <xf numFmtId="165" fontId="17" fillId="5" borderId="25" xfId="0" applyNumberFormat="1" applyFont="1" applyFill="1" applyBorder="1" applyAlignment="1">
      <alignment vertical="center"/>
    </xf>
    <xf numFmtId="165" fontId="17" fillId="4" borderId="26" xfId="0" applyNumberFormat="1" applyFont="1" applyFill="1" applyBorder="1" applyAlignment="1">
      <alignment vertical="center"/>
    </xf>
    <xf numFmtId="165" fontId="17" fillId="4" borderId="27" xfId="0" applyNumberFormat="1" applyFont="1" applyFill="1" applyBorder="1" applyAlignment="1">
      <alignment vertical="center"/>
    </xf>
    <xf numFmtId="0" fontId="13" fillId="6" borderId="31" xfId="0" applyNumberFormat="1" applyFont="1" applyFill="1" applyBorder="1" applyAlignment="1">
      <alignment vertical="center"/>
    </xf>
    <xf numFmtId="165" fontId="13" fillId="6" borderId="32" xfId="0" applyNumberFormat="1" applyFont="1" applyFill="1" applyBorder="1" applyAlignment="1">
      <alignment vertical="center"/>
    </xf>
    <xf numFmtId="165" fontId="13" fillId="6" borderId="33" xfId="0" applyNumberFormat="1" applyFont="1" applyFill="1" applyBorder="1" applyAlignment="1">
      <alignment vertical="center"/>
    </xf>
    <xf numFmtId="165" fontId="13" fillId="5" borderId="34" xfId="0" applyNumberFormat="1" applyFont="1" applyFill="1" applyBorder="1" applyAlignment="1">
      <alignment vertical="center"/>
    </xf>
    <xf numFmtId="165" fontId="13" fillId="6" borderId="31" xfId="0" applyNumberFormat="1" applyFont="1" applyFill="1" applyBorder="1" applyAlignment="1">
      <alignment vertical="center"/>
    </xf>
    <xf numFmtId="0" fontId="17" fillId="2" borderId="3" xfId="0" applyNumberFormat="1" applyFont="1" applyFill="1" applyBorder="1" applyAlignment="1">
      <alignment vertical="center"/>
    </xf>
    <xf numFmtId="165" fontId="17" fillId="2" borderId="1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0" fontId="12" fillId="2" borderId="3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  <xf numFmtId="0" fontId="17" fillId="2" borderId="35" xfId="0" applyNumberFormat="1" applyFont="1" applyFill="1" applyBorder="1" applyAlignment="1">
      <alignment vertical="center"/>
    </xf>
    <xf numFmtId="165" fontId="17" fillId="2" borderId="36" xfId="0" applyNumberFormat="1" applyFont="1" applyFill="1" applyBorder="1" applyAlignment="1">
      <alignment vertical="center"/>
    </xf>
    <xf numFmtId="165" fontId="17" fillId="2" borderId="37" xfId="0" applyNumberFormat="1" applyFont="1" applyFill="1" applyBorder="1" applyAlignment="1">
      <alignment vertical="center"/>
    </xf>
    <xf numFmtId="165" fontId="17" fillId="2" borderId="3" xfId="0" applyNumberFormat="1" applyFont="1" applyFill="1" applyBorder="1" applyAlignment="1">
      <alignment vertical="center"/>
    </xf>
    <xf numFmtId="165" fontId="12" fillId="2" borderId="3" xfId="0" applyNumberFormat="1" applyFont="1" applyFill="1" applyBorder="1" applyAlignment="1">
      <alignment vertical="center"/>
    </xf>
    <xf numFmtId="165" fontId="17" fillId="2" borderId="35" xfId="0" applyNumberFormat="1" applyFont="1" applyFill="1" applyBorder="1" applyAlignment="1">
      <alignment vertical="center"/>
    </xf>
    <xf numFmtId="165" fontId="12" fillId="2" borderId="31" xfId="0" applyNumberFormat="1" applyFont="1" applyFill="1" applyBorder="1" applyAlignment="1">
      <alignment vertical="center"/>
    </xf>
    <xf numFmtId="165" fontId="12" fillId="2" borderId="32" xfId="0" applyNumberFormat="1" applyFont="1" applyFill="1" applyBorder="1" applyAlignment="1">
      <alignment vertical="center"/>
    </xf>
    <xf numFmtId="0" fontId="17" fillId="6" borderId="29" xfId="0" applyNumberFormat="1" applyFont="1" applyFill="1" applyBorder="1" applyAlignment="1">
      <alignment vertical="center"/>
    </xf>
    <xf numFmtId="165" fontId="17" fillId="6" borderId="1" xfId="0" applyNumberFormat="1" applyFont="1" applyFill="1" applyBorder="1" applyAlignment="1">
      <alignment vertical="center"/>
    </xf>
    <xf numFmtId="165" fontId="17" fillId="6" borderId="2" xfId="0" applyNumberFormat="1" applyFont="1" applyFill="1" applyBorder="1" applyAlignment="1">
      <alignment vertical="center"/>
    </xf>
    <xf numFmtId="165" fontId="17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5" fillId="4" borderId="28" xfId="0" applyFont="1" applyFill="1" applyBorder="1" applyAlignment="1">
      <alignment vertical="center"/>
    </xf>
    <xf numFmtId="0" fontId="25" fillId="4" borderId="29" xfId="0" applyNumberFormat="1" applyFont="1" applyFill="1" applyBorder="1" applyAlignment="1">
      <alignment vertical="center"/>
    </xf>
    <xf numFmtId="165" fontId="25" fillId="4" borderId="5" xfId="0" applyNumberFormat="1" applyFont="1" applyFill="1" applyBorder="1" applyAlignment="1">
      <alignment vertical="center"/>
    </xf>
    <xf numFmtId="165" fontId="25" fillId="4" borderId="8" xfId="0" applyNumberFormat="1" applyFont="1" applyFill="1" applyBorder="1" applyAlignment="1">
      <alignment vertical="center"/>
    </xf>
    <xf numFmtId="165" fontId="25" fillId="5" borderId="28" xfId="0" applyNumberFormat="1" applyFont="1" applyFill="1" applyBorder="1" applyAlignment="1">
      <alignment vertical="center"/>
    </xf>
    <xf numFmtId="165" fontId="25" fillId="4" borderId="29" xfId="0" applyNumberFormat="1" applyFont="1" applyFill="1" applyBorder="1" applyAlignment="1">
      <alignment vertical="center"/>
    </xf>
    <xf numFmtId="165" fontId="25" fillId="4" borderId="30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right" vertical="center"/>
    </xf>
    <xf numFmtId="9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9" fontId="14" fillId="0" borderId="1" xfId="5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27" fillId="2" borderId="0" xfId="0" applyFont="1" applyFill="1" applyBorder="1"/>
    <xf numFmtId="0" fontId="27" fillId="2" borderId="0" xfId="0" applyFont="1" applyFill="1"/>
    <xf numFmtId="0" fontId="20" fillId="2" borderId="0" xfId="0" applyFont="1" applyFill="1" applyBorder="1"/>
    <xf numFmtId="0" fontId="20" fillId="2" borderId="0" xfId="0" applyFont="1" applyFill="1"/>
    <xf numFmtId="0" fontId="0" fillId="2" borderId="0" xfId="0" applyFill="1" applyBorder="1"/>
    <xf numFmtId="0" fontId="0" fillId="2" borderId="0" xfId="0" applyFill="1"/>
    <xf numFmtId="0" fontId="16" fillId="0" borderId="0" xfId="0" applyFont="1" applyBorder="1"/>
    <xf numFmtId="0" fontId="16" fillId="0" borderId="0" xfId="0" applyFont="1"/>
    <xf numFmtId="0" fontId="16" fillId="0" borderId="0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2" borderId="0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4" fontId="14" fillId="0" borderId="1" xfId="4" applyNumberFormat="1" applyFont="1" applyFill="1" applyBorder="1" applyAlignment="1">
      <alignment horizontal="right" vertical="center"/>
    </xf>
    <xf numFmtId="49" fontId="14" fillId="0" borderId="1" xfId="6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4" fontId="2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9" fontId="15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/>
    <xf numFmtId="0" fontId="14" fillId="0" borderId="1" xfId="0" applyNumberFormat="1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horizontal="right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9" fontId="15" fillId="0" borderId="1" xfId="2" applyFont="1" applyFill="1" applyBorder="1" applyAlignment="1">
      <alignment horizontal="center" vertical="center"/>
    </xf>
    <xf numFmtId="0" fontId="14" fillId="0" borderId="41" xfId="0" applyNumberFormat="1" applyFont="1" applyFill="1" applyBorder="1" applyAlignment="1">
      <alignment horizontal="center" vertical="center" wrapText="1"/>
    </xf>
    <xf numFmtId="0" fontId="14" fillId="0" borderId="41" xfId="0" applyNumberFormat="1" applyFont="1" applyFill="1" applyBorder="1" applyAlignment="1">
      <alignment vertical="center" wrapText="1"/>
    </xf>
    <xf numFmtId="167" fontId="14" fillId="0" borderId="41" xfId="0" applyNumberFormat="1" applyFont="1" applyFill="1" applyBorder="1" applyAlignment="1">
      <alignment horizontal="center" vertical="center" wrapText="1"/>
    </xf>
    <xf numFmtId="9" fontId="14" fillId="0" borderId="41" xfId="0" applyNumberFormat="1" applyFont="1" applyFill="1" applyBorder="1" applyAlignment="1">
      <alignment horizontal="center" vertical="center"/>
    </xf>
    <xf numFmtId="17" fontId="15" fillId="0" borderId="1" xfId="0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left" vertical="center" wrapText="1"/>
    </xf>
    <xf numFmtId="167" fontId="14" fillId="0" borderId="5" xfId="0" applyNumberFormat="1" applyFont="1" applyFill="1" applyBorder="1" applyAlignment="1">
      <alignment horizontal="center" vertical="center" wrapText="1"/>
    </xf>
    <xf numFmtId="9" fontId="14" fillId="0" borderId="5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left" vertical="center" wrapText="1"/>
    </xf>
    <xf numFmtId="167" fontId="15" fillId="0" borderId="4" xfId="0" applyNumberFormat="1" applyFont="1" applyFill="1" applyBorder="1" applyAlignment="1">
      <alignment horizontal="center" vertical="center" wrapText="1"/>
    </xf>
    <xf numFmtId="9" fontId="15" fillId="0" borderId="4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/>
    </xf>
    <xf numFmtId="0" fontId="32" fillId="0" borderId="0" xfId="0" applyFont="1"/>
    <xf numFmtId="166" fontId="23" fillId="2" borderId="5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right" vertical="center" wrapText="1"/>
    </xf>
    <xf numFmtId="4" fontId="22" fillId="0" borderId="5" xfId="0" applyNumberFormat="1" applyFont="1" applyBorder="1" applyAlignment="1">
      <alignment horizontal="right" vertical="center" wrapText="1"/>
    </xf>
    <xf numFmtId="9" fontId="23" fillId="2" borderId="5" xfId="0" applyNumberFormat="1" applyFont="1" applyFill="1" applyBorder="1" applyAlignment="1">
      <alignment horizontal="center" vertical="center"/>
    </xf>
    <xf numFmtId="4" fontId="21" fillId="0" borderId="5" xfId="0" applyNumberFormat="1" applyFont="1" applyBorder="1" applyAlignment="1">
      <alignment horizontal="right" vertical="center"/>
    </xf>
    <xf numFmtId="4" fontId="22" fillId="0" borderId="5" xfId="0" applyNumberFormat="1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4" fontId="15" fillId="0" borderId="1" xfId="7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 wrapText="1"/>
    </xf>
    <xf numFmtId="4" fontId="15" fillId="0" borderId="1" xfId="7" applyNumberFormat="1" applyFont="1" applyFill="1" applyBorder="1" applyAlignment="1">
      <alignment vertical="center"/>
    </xf>
    <xf numFmtId="4" fontId="15" fillId="0" borderId="1" xfId="7" applyNumberFormat="1" applyFont="1" applyFill="1" applyBorder="1" applyAlignment="1">
      <alignment vertical="center" wrapText="1"/>
    </xf>
    <xf numFmtId="4" fontId="23" fillId="0" borderId="1" xfId="7" applyNumberFormat="1" applyFont="1" applyFill="1" applyBorder="1" applyAlignment="1">
      <alignment horizontal="right" vertical="center"/>
    </xf>
    <xf numFmtId="4" fontId="24" fillId="0" borderId="1" xfId="7" applyNumberFormat="1" applyFont="1" applyFill="1" applyBorder="1" applyAlignment="1">
      <alignment horizontal="right" vertical="center"/>
    </xf>
    <xf numFmtId="4" fontId="23" fillId="0" borderId="1" xfId="0" applyNumberFormat="1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vertical="center"/>
    </xf>
    <xf numFmtId="4" fontId="30" fillId="0" borderId="1" xfId="0" applyNumberFormat="1" applyFont="1" applyFill="1" applyBorder="1" applyAlignment="1">
      <alignment horizontal="right" vertical="center" wrapText="1"/>
    </xf>
    <xf numFmtId="4" fontId="14" fillId="0" borderId="1" xfId="7" applyNumberFormat="1" applyFont="1" applyFill="1" applyBorder="1" applyAlignment="1">
      <alignment horizontal="right" vertical="center" wrapText="1"/>
    </xf>
    <xf numFmtId="4" fontId="14" fillId="0" borderId="41" xfId="0" applyNumberFormat="1" applyFont="1" applyFill="1" applyBorder="1" applyAlignment="1">
      <alignment horizontal="right" vertical="center" wrapText="1"/>
    </xf>
    <xf numFmtId="4" fontId="14" fillId="0" borderId="39" xfId="0" applyNumberFormat="1" applyFont="1" applyFill="1" applyBorder="1" applyAlignment="1">
      <alignment horizontal="right" vertical="center"/>
    </xf>
    <xf numFmtId="4" fontId="14" fillId="0" borderId="1" xfId="7" applyNumberFormat="1" applyFont="1" applyFill="1" applyBorder="1" applyAlignment="1">
      <alignment horizontal="right" vertical="center"/>
    </xf>
    <xf numFmtId="4" fontId="24" fillId="0" borderId="41" xfId="0" applyNumberFormat="1" applyFont="1" applyFill="1" applyBorder="1" applyAlignment="1">
      <alignment vertical="center" wrapText="1"/>
    </xf>
    <xf numFmtId="4" fontId="24" fillId="0" borderId="41" xfId="0" applyNumberFormat="1" applyFont="1" applyFill="1" applyBorder="1" applyAlignment="1">
      <alignment vertical="center"/>
    </xf>
    <xf numFmtId="44" fontId="24" fillId="0" borderId="1" xfId="7" applyFont="1" applyFill="1" applyBorder="1" applyAlignment="1">
      <alignment vertical="center"/>
    </xf>
    <xf numFmtId="165" fontId="23" fillId="0" borderId="1" xfId="0" applyNumberFormat="1" applyFont="1" applyFill="1" applyBorder="1" applyAlignment="1">
      <alignment vertical="center"/>
    </xf>
    <xf numFmtId="165" fontId="24" fillId="0" borderId="1" xfId="0" applyNumberFormat="1" applyFont="1" applyFill="1" applyBorder="1" applyAlignment="1">
      <alignment vertical="center"/>
    </xf>
    <xf numFmtId="4" fontId="24" fillId="0" borderId="5" xfId="0" applyNumberFormat="1" applyFont="1" applyFill="1" applyBorder="1" applyAlignment="1">
      <alignment horizontal="right" vertical="center" wrapText="1"/>
    </xf>
    <xf numFmtId="4" fontId="24" fillId="0" borderId="5" xfId="0" applyNumberFormat="1" applyFont="1" applyFill="1" applyBorder="1" applyAlignment="1">
      <alignment horizontal="right" vertical="center"/>
    </xf>
    <xf numFmtId="4" fontId="23" fillId="0" borderId="4" xfId="0" applyNumberFormat="1" applyFont="1" applyFill="1" applyBorder="1" applyAlignment="1">
      <alignment horizontal="right"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4" fontId="14" fillId="0" borderId="5" xfId="0" applyNumberFormat="1" applyFont="1" applyFill="1" applyBorder="1" applyAlignment="1">
      <alignment horizontal="right" vertical="center" wrapText="1"/>
    </xf>
    <xf numFmtId="4" fontId="14" fillId="0" borderId="5" xfId="0" applyNumberFormat="1" applyFont="1" applyFill="1" applyBorder="1" applyAlignment="1">
      <alignment horizontal="right" vertical="center"/>
    </xf>
    <xf numFmtId="4" fontId="15" fillId="0" borderId="4" xfId="0" applyNumberFormat="1" applyFont="1" applyFill="1" applyBorder="1" applyAlignment="1">
      <alignment horizontal="right"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165" fontId="23" fillId="0" borderId="1" xfId="0" applyNumberFormat="1" applyFont="1" applyFill="1" applyBorder="1" applyAlignment="1">
      <alignment horizontal="right" vertical="center" wrapText="1"/>
    </xf>
    <xf numFmtId="165" fontId="23" fillId="0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Fill="1" applyBorder="1" applyAlignment="1">
      <alignment horizontal="right" vertical="center" wrapText="1"/>
    </xf>
    <xf numFmtId="165" fontId="15" fillId="0" borderId="1" xfId="0" applyNumberFormat="1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vertical="center" wrapText="1"/>
    </xf>
    <xf numFmtId="4" fontId="24" fillId="2" borderId="1" xfId="0" applyNumberFormat="1" applyFont="1" applyFill="1" applyBorder="1" applyAlignment="1">
      <alignment horizontal="right" vertical="center"/>
    </xf>
    <xf numFmtId="4" fontId="24" fillId="2" borderId="1" xfId="0" applyNumberFormat="1" applyFont="1" applyFill="1" applyBorder="1" applyAlignment="1">
      <alignment horizontal="right" vertical="center" wrapText="1"/>
    </xf>
    <xf numFmtId="9" fontId="14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right" vertical="center"/>
    </xf>
    <xf numFmtId="2" fontId="14" fillId="2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 wrapText="1"/>
    </xf>
    <xf numFmtId="17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16" fillId="2" borderId="0" xfId="0" applyFont="1" applyFill="1" applyBorder="1"/>
    <xf numFmtId="0" fontId="16" fillId="2" borderId="0" xfId="0" applyFont="1" applyFill="1"/>
    <xf numFmtId="0" fontId="14" fillId="2" borderId="1" xfId="0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9" fontId="14" fillId="2" borderId="1" xfId="5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right" vertical="center"/>
    </xf>
    <xf numFmtId="4" fontId="24" fillId="2" borderId="1" xfId="0" applyNumberFormat="1" applyFont="1" applyFill="1" applyBorder="1" applyAlignment="1">
      <alignment vertical="center"/>
    </xf>
    <xf numFmtId="2" fontId="14" fillId="2" borderId="1" xfId="0" applyNumberFormat="1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vertical="center"/>
    </xf>
    <xf numFmtId="165" fontId="12" fillId="0" borderId="42" xfId="0" applyNumberFormat="1" applyFont="1" applyFill="1" applyBorder="1" applyAlignment="1">
      <alignment vertical="center"/>
    </xf>
    <xf numFmtId="0" fontId="17" fillId="0" borderId="23" xfId="0" applyFont="1" applyFill="1" applyBorder="1" applyAlignment="1">
      <alignment horizontal="left" vertical="center" wrapText="1" indent="2"/>
    </xf>
    <xf numFmtId="165" fontId="17" fillId="2" borderId="22" xfId="0" applyNumberFormat="1" applyFont="1" applyFill="1" applyBorder="1" applyAlignment="1">
      <alignment vertical="center"/>
    </xf>
    <xf numFmtId="0" fontId="12" fillId="0" borderId="23" xfId="0" applyFont="1" applyFill="1" applyBorder="1" applyAlignment="1">
      <alignment horizontal="left" vertical="center" indent="2"/>
    </xf>
    <xf numFmtId="165" fontId="12" fillId="2" borderId="22" xfId="0" applyNumberFormat="1" applyFont="1" applyFill="1" applyBorder="1" applyAlignment="1">
      <alignment vertical="center"/>
    </xf>
    <xf numFmtId="0" fontId="17" fillId="0" borderId="38" xfId="0" applyFont="1" applyFill="1" applyBorder="1" applyAlignment="1">
      <alignment horizontal="left" vertical="center" indent="2"/>
    </xf>
    <xf numFmtId="165" fontId="17" fillId="2" borderId="43" xfId="0" applyNumberFormat="1" applyFont="1" applyFill="1" applyBorder="1" applyAlignment="1">
      <alignment vertical="center"/>
    </xf>
    <xf numFmtId="165" fontId="12" fillId="2" borderId="42" xfId="0" applyNumberFormat="1" applyFont="1" applyFill="1" applyBorder="1" applyAlignment="1">
      <alignment vertical="center"/>
    </xf>
    <xf numFmtId="0" fontId="18" fillId="3" borderId="34" xfId="0" applyFont="1" applyFill="1" applyBorder="1" applyAlignment="1">
      <alignment vertical="center"/>
    </xf>
    <xf numFmtId="165" fontId="18" fillId="3" borderId="42" xfId="0" applyNumberFormat="1" applyFont="1" applyFill="1" applyBorder="1" applyAlignment="1">
      <alignment vertical="center"/>
    </xf>
    <xf numFmtId="0" fontId="17" fillId="3" borderId="23" xfId="0" applyFont="1" applyFill="1" applyBorder="1" applyAlignment="1">
      <alignment horizontal="left" vertical="center" wrapText="1" indent="2"/>
    </xf>
    <xf numFmtId="165" fontId="17" fillId="3" borderId="22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horizontal="left" vertical="center" indent="2"/>
    </xf>
    <xf numFmtId="165" fontId="12" fillId="3" borderId="22" xfId="0" applyNumberFormat="1" applyFont="1" applyFill="1" applyBorder="1" applyAlignment="1">
      <alignment vertical="center"/>
    </xf>
    <xf numFmtId="0" fontId="17" fillId="3" borderId="38" xfId="0" applyFont="1" applyFill="1" applyBorder="1" applyAlignment="1">
      <alignment horizontal="left" vertical="center" indent="2"/>
    </xf>
    <xf numFmtId="165" fontId="17" fillId="3" borderId="43" xfId="0" applyNumberFormat="1" applyFont="1" applyFill="1" applyBorder="1" applyAlignment="1">
      <alignment vertical="center"/>
    </xf>
    <xf numFmtId="0" fontId="12" fillId="6" borderId="34" xfId="0" applyFont="1" applyFill="1" applyBorder="1" applyAlignment="1">
      <alignment vertical="center"/>
    </xf>
    <xf numFmtId="165" fontId="13" fillId="6" borderId="42" xfId="0" applyNumberFormat="1" applyFont="1" applyFill="1" applyBorder="1" applyAlignment="1">
      <alignment vertical="center"/>
    </xf>
    <xf numFmtId="0" fontId="17" fillId="6" borderId="23" xfId="0" applyFont="1" applyFill="1" applyBorder="1" applyAlignment="1">
      <alignment horizontal="left" vertical="center" wrapText="1" indent="2"/>
    </xf>
    <xf numFmtId="165" fontId="17" fillId="6" borderId="22" xfId="0" applyNumberFormat="1" applyFont="1" applyFill="1" applyBorder="1" applyAlignment="1">
      <alignment vertical="center"/>
    </xf>
    <xf numFmtId="0" fontId="12" fillId="6" borderId="23" xfId="0" applyFont="1" applyFill="1" applyBorder="1" applyAlignment="1">
      <alignment horizontal="left" vertical="center" indent="2"/>
    </xf>
    <xf numFmtId="165" fontId="13" fillId="6" borderId="22" xfId="0" applyNumberFormat="1" applyFont="1" applyFill="1" applyBorder="1" applyAlignment="1">
      <alignment vertical="center"/>
    </xf>
    <xf numFmtId="0" fontId="17" fillId="6" borderId="44" xfId="0" applyFont="1" applyFill="1" applyBorder="1" applyAlignment="1">
      <alignment horizontal="left" vertical="center" indent="2"/>
    </xf>
    <xf numFmtId="0" fontId="17" fillId="6" borderId="45" xfId="0" applyNumberFormat="1" applyFont="1" applyFill="1" applyBorder="1" applyAlignment="1">
      <alignment vertical="center"/>
    </xf>
    <xf numFmtId="165" fontId="17" fillId="6" borderId="46" xfId="0" applyNumberFormat="1" applyFont="1" applyFill="1" applyBorder="1" applyAlignment="1">
      <alignment vertical="center"/>
    </xf>
    <xf numFmtId="165" fontId="17" fillId="6" borderId="47" xfId="0" applyNumberFormat="1" applyFont="1" applyFill="1" applyBorder="1" applyAlignment="1">
      <alignment vertical="center"/>
    </xf>
    <xf numFmtId="165" fontId="17" fillId="5" borderId="44" xfId="0" applyNumberFormat="1" applyFont="1" applyFill="1" applyBorder="1" applyAlignment="1">
      <alignment vertical="center"/>
    </xf>
    <xf numFmtId="165" fontId="17" fillId="6" borderId="45" xfId="0" applyNumberFormat="1" applyFont="1" applyFill="1" applyBorder="1" applyAlignment="1">
      <alignment vertical="center"/>
    </xf>
    <xf numFmtId="165" fontId="17" fillId="6" borderId="48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2" fillId="0" borderId="0" xfId="0" applyFont="1" applyFill="1" applyAlignment="1">
      <alignment horizontal="left"/>
    </xf>
    <xf numFmtId="0" fontId="2" fillId="0" borderId="4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8">
    <cellStyle name="Dziesiętny 2" xfId="4"/>
    <cellStyle name="Normalny" xfId="0" builtinId="0"/>
    <cellStyle name="Normalny 2" xfId="3"/>
    <cellStyle name="Normalny 2 2" xfId="6"/>
    <cellStyle name="Normalny 3" xfId="1"/>
    <cellStyle name="Procentowy" xfId="5" builtinId="5"/>
    <cellStyle name="Procentowy 2" xfId="2"/>
    <cellStyle name="Walutowy" xfId="7" builtinId="4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Z44"/>
  <sheetViews>
    <sheetView view="pageBreakPreview" zoomScaleNormal="100" zoomScaleSheetLayoutView="100" workbookViewId="0">
      <selection activeCell="O4" sqref="O4"/>
    </sheetView>
  </sheetViews>
  <sheetFormatPr defaultColWidth="9.140625" defaultRowHeight="15" x14ac:dyDescent="0.25"/>
  <cols>
    <col min="1" max="1" width="35.140625" style="14" customWidth="1"/>
    <col min="2" max="2" width="10.7109375" style="14" customWidth="1"/>
    <col min="3" max="5" width="20.7109375" style="14" customWidth="1"/>
    <col min="6" max="17" width="15.7109375" style="14" customWidth="1"/>
    <col min="18" max="18" width="9.140625" style="14"/>
    <col min="19" max="19" width="11.7109375" style="14" bestFit="1" customWidth="1"/>
    <col min="20" max="16384" width="9.140625" style="3"/>
  </cols>
  <sheetData>
    <row r="1" spans="1:26" s="10" customFormat="1" ht="30" customHeight="1" thickBot="1" x14ac:dyDescent="0.35">
      <c r="A1" s="7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/>
      <c r="U1" s="9"/>
      <c r="V1" s="9"/>
      <c r="W1" s="9"/>
      <c r="X1" s="9"/>
      <c r="Y1" s="9"/>
      <c r="Z1" s="9"/>
    </row>
    <row r="2" spans="1:26" x14ac:dyDescent="0.25">
      <c r="A2" s="11"/>
      <c r="B2" s="11"/>
      <c r="C2" s="11"/>
      <c r="D2" s="11"/>
      <c r="E2" s="11"/>
      <c r="F2" s="328" t="s">
        <v>18</v>
      </c>
      <c r="G2" s="329"/>
      <c r="H2" s="329"/>
      <c r="I2" s="329"/>
      <c r="J2" s="329"/>
      <c r="K2" s="329"/>
      <c r="L2" s="329"/>
      <c r="M2" s="329"/>
      <c r="N2" s="330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</row>
    <row r="3" spans="1:26" x14ac:dyDescent="0.25">
      <c r="A3" s="13"/>
      <c r="B3" s="11"/>
      <c r="C3" s="11"/>
      <c r="D3" s="11"/>
      <c r="E3" s="11"/>
      <c r="F3" s="331"/>
      <c r="G3" s="332"/>
      <c r="H3" s="332"/>
      <c r="I3" s="332"/>
      <c r="J3" s="332"/>
      <c r="K3" s="332"/>
      <c r="L3" s="332"/>
      <c r="M3" s="332"/>
      <c r="N3" s="333"/>
      <c r="Z3" s="12"/>
    </row>
    <row r="4" spans="1:26" x14ac:dyDescent="0.25">
      <c r="A4" s="15" t="s">
        <v>48</v>
      </c>
      <c r="B4" s="16"/>
      <c r="C4" s="16"/>
      <c r="D4" s="16"/>
      <c r="E4" s="16"/>
      <c r="F4" s="331"/>
      <c r="G4" s="332"/>
      <c r="H4" s="332"/>
      <c r="I4" s="332"/>
      <c r="J4" s="332"/>
      <c r="K4" s="332"/>
      <c r="L4" s="332"/>
      <c r="M4" s="332"/>
      <c r="N4" s="333"/>
      <c r="Z4" s="17"/>
    </row>
    <row r="5" spans="1:26" x14ac:dyDescent="0.25">
      <c r="A5" s="16"/>
      <c r="B5" s="16"/>
      <c r="C5" s="16"/>
      <c r="D5" s="16"/>
      <c r="E5" s="16"/>
      <c r="F5" s="331"/>
      <c r="G5" s="332"/>
      <c r="H5" s="332"/>
      <c r="I5" s="332"/>
      <c r="J5" s="332"/>
      <c r="K5" s="332"/>
      <c r="L5" s="332"/>
      <c r="M5" s="332"/>
      <c r="N5" s="333"/>
      <c r="Z5" s="12"/>
    </row>
    <row r="6" spans="1:26" x14ac:dyDescent="0.25">
      <c r="A6" s="15" t="s">
        <v>49</v>
      </c>
      <c r="B6" s="16"/>
      <c r="C6" s="16"/>
      <c r="D6" s="16"/>
      <c r="E6" s="16"/>
      <c r="F6" s="331"/>
      <c r="G6" s="332"/>
      <c r="H6" s="332"/>
      <c r="I6" s="332"/>
      <c r="J6" s="332"/>
      <c r="K6" s="332"/>
      <c r="L6" s="332"/>
      <c r="M6" s="332"/>
      <c r="N6" s="333"/>
      <c r="Z6" s="17"/>
    </row>
    <row r="7" spans="1:26" ht="35.25" customHeight="1" thickBot="1" x14ac:dyDescent="0.3">
      <c r="A7" s="16"/>
      <c r="B7" s="16"/>
      <c r="C7" s="16"/>
      <c r="D7" s="16"/>
      <c r="E7" s="16"/>
      <c r="F7" s="334" t="s">
        <v>564</v>
      </c>
      <c r="G7" s="335"/>
      <c r="H7" s="335"/>
      <c r="I7" s="335"/>
      <c r="J7" s="335"/>
      <c r="K7" s="335"/>
      <c r="L7" s="335"/>
      <c r="M7" s="335"/>
      <c r="N7" s="336"/>
      <c r="Z7" s="12"/>
    </row>
    <row r="8" spans="1:26" x14ac:dyDescent="0.25">
      <c r="A8" s="16"/>
      <c r="B8" s="16"/>
      <c r="C8" s="16"/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Z8" s="12"/>
    </row>
    <row r="9" spans="1:26" ht="20.100000000000001" customHeight="1" thickBot="1" x14ac:dyDescent="0.3">
      <c r="A9" s="15" t="s">
        <v>0</v>
      </c>
      <c r="B9" s="16"/>
      <c r="C9" s="16"/>
      <c r="D9" s="16"/>
      <c r="E9" s="16"/>
      <c r="F9" s="18"/>
      <c r="G9" s="18"/>
      <c r="H9" s="18"/>
      <c r="I9" s="18"/>
      <c r="J9" s="18"/>
      <c r="K9" s="18"/>
      <c r="L9" s="18"/>
      <c r="M9" s="18"/>
      <c r="N9" s="18"/>
      <c r="Z9" s="12"/>
    </row>
    <row r="10" spans="1:26" ht="20.100000000000001" customHeight="1" x14ac:dyDescent="0.25">
      <c r="A10" s="337" t="s">
        <v>1</v>
      </c>
      <c r="B10" s="339" t="s">
        <v>34</v>
      </c>
      <c r="C10" s="341" t="s">
        <v>19</v>
      </c>
      <c r="D10" s="343" t="s">
        <v>20</v>
      </c>
      <c r="E10" s="345" t="s">
        <v>21</v>
      </c>
      <c r="F10" s="80"/>
      <c r="G10" s="67"/>
      <c r="H10" s="68"/>
      <c r="I10" s="67"/>
      <c r="J10" s="68" t="s">
        <v>12</v>
      </c>
      <c r="K10" s="67"/>
      <c r="L10" s="67"/>
      <c r="M10" s="67"/>
      <c r="N10" s="68"/>
      <c r="O10" s="68"/>
      <c r="P10" s="68"/>
      <c r="Q10" s="69"/>
      <c r="R10" s="31"/>
      <c r="S10" s="31"/>
      <c r="T10" s="2"/>
      <c r="U10" s="2"/>
      <c r="V10" s="2"/>
      <c r="W10" s="2"/>
      <c r="Z10" s="12"/>
    </row>
    <row r="11" spans="1:26" s="1" customFormat="1" ht="20.100000000000001" customHeight="1" thickBot="1" x14ac:dyDescent="0.3">
      <c r="A11" s="338"/>
      <c r="B11" s="340"/>
      <c r="C11" s="342"/>
      <c r="D11" s="344"/>
      <c r="E11" s="346"/>
      <c r="F11" s="86">
        <v>2019</v>
      </c>
      <c r="G11" s="87">
        <v>2020</v>
      </c>
      <c r="H11" s="87">
        <v>2021</v>
      </c>
      <c r="I11" s="87">
        <v>2022</v>
      </c>
      <c r="J11" s="87">
        <v>2023</v>
      </c>
      <c r="K11" s="87">
        <v>2024</v>
      </c>
      <c r="L11" s="87">
        <v>2025</v>
      </c>
      <c r="M11" s="87">
        <v>2026</v>
      </c>
      <c r="N11" s="87">
        <v>2027</v>
      </c>
      <c r="O11" s="87">
        <v>2028</v>
      </c>
      <c r="P11" s="87">
        <v>2029</v>
      </c>
      <c r="Q11" s="88">
        <v>2030</v>
      </c>
      <c r="R11" s="18"/>
      <c r="S11" s="18"/>
      <c r="T11" s="18"/>
      <c r="U11" s="18"/>
      <c r="V11" s="18"/>
      <c r="W11" s="18"/>
      <c r="X11" s="19"/>
      <c r="Y11" s="19"/>
      <c r="Z11" s="19"/>
    </row>
    <row r="12" spans="1:26" ht="39.950000000000003" customHeight="1" thickTop="1" x14ac:dyDescent="0.25">
      <c r="A12" s="298" t="s">
        <v>36</v>
      </c>
      <c r="B12" s="89">
        <f>COUNTA('pow podst'!K3:K60)</f>
        <v>58</v>
      </c>
      <c r="C12" s="90">
        <f>SUM('pow podst'!J3:J60)</f>
        <v>468183770.96000004</v>
      </c>
      <c r="D12" s="91">
        <f>SUM('pow podst'!L3:L60)</f>
        <v>233386399.956</v>
      </c>
      <c r="E12" s="92">
        <f>SUM('pow podst'!K3:K60)</f>
        <v>234797371.00400001</v>
      </c>
      <c r="F12" s="93">
        <f>SUM('pow podst'!N3:N60)</f>
        <v>0</v>
      </c>
      <c r="G12" s="90">
        <f>SUM('pow podst'!O3:O60)</f>
        <v>0</v>
      </c>
      <c r="H12" s="90">
        <f>SUM('pow podst'!P3:P60)</f>
        <v>0</v>
      </c>
      <c r="I12" s="90">
        <f>SUM('pow podst'!Q3:Q60)</f>
        <v>94647.56</v>
      </c>
      <c r="J12" s="90">
        <f>SUM('pow podst'!R3:R60)</f>
        <v>3956069.8899999997</v>
      </c>
      <c r="K12" s="90">
        <f>SUM('pow podst'!S3:S60)</f>
        <v>56095589.219999999</v>
      </c>
      <c r="L12" s="90">
        <f>SUM('pow podst'!T3:T60)</f>
        <v>114021029.00399999</v>
      </c>
      <c r="M12" s="90">
        <f>SUM('pow podst'!U3:U60)</f>
        <v>41332003.330000006</v>
      </c>
      <c r="N12" s="90">
        <f>SUM('pow podst'!V3:V60)</f>
        <v>16204521</v>
      </c>
      <c r="O12" s="90">
        <f>SUM('pow podst'!W3:W60)</f>
        <v>3093511</v>
      </c>
      <c r="P12" s="90">
        <f>SUM('pow podst'!X3:X60)</f>
        <v>0</v>
      </c>
      <c r="Q12" s="299">
        <f>SUM('pow podst'!Y3:Y60)</f>
        <v>0</v>
      </c>
      <c r="R12" s="20" t="b">
        <f>C12=(D12+E12)</f>
        <v>1</v>
      </c>
      <c r="S12" s="40" t="b">
        <f>E12=SUM(F12:Q12)</f>
        <v>1</v>
      </c>
      <c r="T12" s="21"/>
      <c r="U12" s="21"/>
      <c r="V12" s="22"/>
      <c r="W12" s="22"/>
      <c r="X12" s="23"/>
      <c r="Y12" s="12"/>
      <c r="Z12" s="12"/>
    </row>
    <row r="13" spans="1:26" ht="39.950000000000003" customHeight="1" x14ac:dyDescent="0.25">
      <c r="A13" s="300" t="s">
        <v>37</v>
      </c>
      <c r="B13" s="116">
        <f>COUNTIF('pow podst'!C3:C60,"K")</f>
        <v>32</v>
      </c>
      <c r="C13" s="117">
        <f>SUMIF('pow podst'!C3:C60,"K",'pow podst'!J3:J60)</f>
        <v>296663207.83000004</v>
      </c>
      <c r="D13" s="118">
        <f>SUMIF('pow podst'!C3:C60,"K",'pow podst'!L3:L60)</f>
        <v>145899801.90600002</v>
      </c>
      <c r="E13" s="48">
        <f>SUMIF('pow podst'!C3:C60,"K",'pow podst'!K3:K60)</f>
        <v>150763405.92399999</v>
      </c>
      <c r="F13" s="125">
        <f>SUMIF('pow podst'!C3:C60,"K",'pow podst'!N3:N60)</f>
        <v>0</v>
      </c>
      <c r="G13" s="117">
        <f>SUMIF('pow podst'!C3:C60,"K",'pow podst'!O3:O60)</f>
        <v>0</v>
      </c>
      <c r="H13" s="117">
        <f>SUMIF('pow podst'!C3:C60,"K",'pow podst'!P3:P60)</f>
        <v>0</v>
      </c>
      <c r="I13" s="117">
        <f>SUMIF('pow podst'!C3:C60,"K",'pow podst'!Q3:Q60)</f>
        <v>94647.56</v>
      </c>
      <c r="J13" s="117">
        <f>SUMIF('pow podst'!C3:C60,"K",'pow podst'!R3:R60)</f>
        <v>3956069.8899999997</v>
      </c>
      <c r="K13" s="117">
        <f>SUMIF('pow podst'!C3:C60,"K",'pow podst'!S3:S60)</f>
        <v>56095589.219999999</v>
      </c>
      <c r="L13" s="117">
        <f>SUMIF('pow podst'!C3:C60,"K",'pow podst'!T3:T60)</f>
        <v>54271943.164000005</v>
      </c>
      <c r="M13" s="117">
        <f>SUMIF('pow podst'!C3:C60,"K",'pow podst'!U3:U60)</f>
        <v>36345156.090000004</v>
      </c>
      <c r="N13" s="117">
        <f>SUMIF('pow podst'!C3:C60,"K",'pow podst'!V3:V60)</f>
        <v>0</v>
      </c>
      <c r="O13" s="117">
        <f>SUMIF('pow podst'!C3:C60,"K",'pow podst'!W3:W60)</f>
        <v>0</v>
      </c>
      <c r="P13" s="117">
        <f>SUMIF('pow podst'!D3:D60,"K",'pow podst'!X3:X60)</f>
        <v>0</v>
      </c>
      <c r="Q13" s="301">
        <f>SUMIF('pow podst'!E3:E60,"K",'pow podst'!Y3:Y60)</f>
        <v>0</v>
      </c>
      <c r="R13" s="20" t="b">
        <f t="shared" ref="R13:R36" si="0">C13=(D13+E13)</f>
        <v>1</v>
      </c>
      <c r="S13" s="40" t="b">
        <f t="shared" ref="S13:S36" si="1">E13=SUM(F13:Q13)</f>
        <v>1</v>
      </c>
      <c r="T13" s="21"/>
      <c r="U13" s="21"/>
      <c r="V13" s="22"/>
      <c r="W13" s="22"/>
      <c r="X13" s="23"/>
      <c r="Y13" s="12"/>
      <c r="Z13" s="12"/>
    </row>
    <row r="14" spans="1:26" ht="39.950000000000003" customHeight="1" x14ac:dyDescent="0.25">
      <c r="A14" s="302" t="s">
        <v>38</v>
      </c>
      <c r="B14" s="119">
        <f>COUNTIF('pow podst'!C3:C60,"N")</f>
        <v>19</v>
      </c>
      <c r="C14" s="120">
        <f>SUMIF('pow podst'!C3:C60,"N",'pow podst'!J3:J60)</f>
        <v>102044660.84999999</v>
      </c>
      <c r="D14" s="121">
        <f>SUMIF('pow podst'!C3:C60,"N",'pow podst'!L3:L60)</f>
        <v>52748646.910000011</v>
      </c>
      <c r="E14" s="47">
        <f>SUMIF('pow podst'!C3:C60,"N",'pow podst'!K3:K60)</f>
        <v>49296013.939999998</v>
      </c>
      <c r="F14" s="126">
        <f>SUMIF('pow podst'!C3:C60,"N",'pow podst'!N3:N60)</f>
        <v>0</v>
      </c>
      <c r="G14" s="120">
        <f>SUMIF('pow podst'!C3:C60,"N",'pow podst'!O3:O60)</f>
        <v>0</v>
      </c>
      <c r="H14" s="120">
        <f>SUMIF('pow podst'!C3:C60,"N",'pow podst'!P3:P60)</f>
        <v>0</v>
      </c>
      <c r="I14" s="120">
        <f>SUMIF('pow podst'!C3:C60,"N",'pow podst'!Q3:Q60)</f>
        <v>0</v>
      </c>
      <c r="J14" s="120">
        <f>SUMIF('pow podst'!C3:C60,"N",'pow podst'!R3:R60)</f>
        <v>0</v>
      </c>
      <c r="K14" s="120">
        <f>SUMIF('pow podst'!C3:C60,"N",'pow podst'!S3:S60)</f>
        <v>0</v>
      </c>
      <c r="L14" s="120">
        <f>SUMIF('pow podst'!C3:C60,"N",'pow podst'!T3:T60)</f>
        <v>49296013.939999998</v>
      </c>
      <c r="M14" s="120">
        <f>SUMIF('pow podst'!C3:C60,"N",'pow podst'!U3:U60)</f>
        <v>0</v>
      </c>
      <c r="N14" s="120">
        <f>SUMIF('pow podst'!C3:C60,"N",'pow podst'!V3:V60)</f>
        <v>0</v>
      </c>
      <c r="O14" s="120">
        <f>SUMIF('pow podst'!C3:C60,"N",'pow podst'!W3:W60)</f>
        <v>0</v>
      </c>
      <c r="P14" s="120">
        <f>SUMIF('pow podst'!D3:D60,"N",'pow podst'!X3:X60)</f>
        <v>0</v>
      </c>
      <c r="Q14" s="303">
        <f>SUMIF('pow podst'!E3:E60,"N",'pow podst'!Y3:Y60)</f>
        <v>0</v>
      </c>
      <c r="R14" s="20" t="b">
        <f t="shared" si="0"/>
        <v>1</v>
      </c>
      <c r="S14" s="40" t="b">
        <f t="shared" si="1"/>
        <v>1</v>
      </c>
      <c r="T14" s="21"/>
      <c r="U14" s="21"/>
      <c r="V14" s="22"/>
      <c r="W14" s="22"/>
      <c r="X14" s="23"/>
      <c r="Y14" s="12"/>
      <c r="Z14" s="12"/>
    </row>
    <row r="15" spans="1:26" ht="39.950000000000003" customHeight="1" thickBot="1" x14ac:dyDescent="0.3">
      <c r="A15" s="304" t="s">
        <v>39</v>
      </c>
      <c r="B15" s="122">
        <f>COUNTIF('pow podst'!C3:C60,"W")</f>
        <v>7</v>
      </c>
      <c r="C15" s="123">
        <f>SUMIF('pow podst'!C3:C60,"W",'pow podst'!J3:J60)</f>
        <v>69475902.280000001</v>
      </c>
      <c r="D15" s="124">
        <f>SUMIF('pow podst'!C3:C60,"W",'pow podst'!L3:L60)</f>
        <v>34737951.140000001</v>
      </c>
      <c r="E15" s="94">
        <f>SUMIF('pow podst'!C3:C60,"W",'pow podst'!K3:K60)</f>
        <v>34737951.140000001</v>
      </c>
      <c r="F15" s="127">
        <f>SUMIF('pow podst'!C3:C60,"W",'pow podst'!N3:N60)</f>
        <v>0</v>
      </c>
      <c r="G15" s="123">
        <f>SUMIF('pow podst'!C3:C60,"W",'pow podst'!O3:O60)</f>
        <v>0</v>
      </c>
      <c r="H15" s="123">
        <f>SUMIF('pow podst'!C3:C60,"W",'pow podst'!P3:P60)</f>
        <v>0</v>
      </c>
      <c r="I15" s="123">
        <f>SUMIF('pow podst'!C3:C60,"W",'pow podst'!Q3:Q60)</f>
        <v>0</v>
      </c>
      <c r="J15" s="123">
        <f>SUMIF('pow podst'!C3:C60,"W",'pow podst'!R3:R60)</f>
        <v>0</v>
      </c>
      <c r="K15" s="123">
        <f>SUMIF('pow podst'!C3:C60,"W",'pow podst'!S3:S60)</f>
        <v>0</v>
      </c>
      <c r="L15" s="123">
        <f>SUMIF('pow podst'!C3:C60,"W",'pow podst'!T3:T60)</f>
        <v>10453071.9</v>
      </c>
      <c r="M15" s="123">
        <f>SUMIF('pow podst'!C3:C60,"W",'pow podst'!U3:U60)</f>
        <v>4986847.24</v>
      </c>
      <c r="N15" s="123">
        <f>SUMIF('pow podst'!C3:C60,"W",'pow podst'!V3:V60)</f>
        <v>16204521</v>
      </c>
      <c r="O15" s="123">
        <f>SUMIF('pow podst'!C3:C60,"W",'pow podst'!W3:W60)</f>
        <v>3093511</v>
      </c>
      <c r="P15" s="123">
        <f>SUMIF('pow podst'!D3:D60,"W",'pow podst'!X3:X60)</f>
        <v>0</v>
      </c>
      <c r="Q15" s="305">
        <f>SUMIF('pow podst'!E3:E60,"W",'pow podst'!Y3:Y60)</f>
        <v>0</v>
      </c>
      <c r="R15" s="20" t="b">
        <f t="shared" si="0"/>
        <v>1</v>
      </c>
      <c r="S15" s="40" t="b">
        <f t="shared" si="1"/>
        <v>1</v>
      </c>
      <c r="T15" s="21"/>
      <c r="U15" s="21"/>
      <c r="V15" s="22"/>
      <c r="W15" s="22"/>
      <c r="X15" s="23"/>
      <c r="Y15" s="12"/>
      <c r="Z15" s="12"/>
    </row>
    <row r="16" spans="1:26" ht="39.950000000000003" customHeight="1" thickTop="1" x14ac:dyDescent="0.25">
      <c r="A16" s="298" t="s">
        <v>40</v>
      </c>
      <c r="B16" s="89">
        <f>COUNTA('gm podst'!L3:L100)</f>
        <v>98</v>
      </c>
      <c r="C16" s="90">
        <f>SUM('gm podst'!K3:K100)</f>
        <v>383126419.80999994</v>
      </c>
      <c r="D16" s="91">
        <f>SUM('gm podst'!M3:M100)</f>
        <v>207676084.65999997</v>
      </c>
      <c r="E16" s="92">
        <f>SUM('gm podst'!L3:L100)</f>
        <v>175450335.14999998</v>
      </c>
      <c r="F16" s="128">
        <f>SUM('gm podst'!O3:O100)</f>
        <v>0</v>
      </c>
      <c r="G16" s="129">
        <f>SUM('gm podst'!P3:P100)</f>
        <v>0</v>
      </c>
      <c r="H16" s="129">
        <f>SUM('gm podst'!Q3:Q100)</f>
        <v>0</v>
      </c>
      <c r="I16" s="129">
        <f>SUM('gm podst'!R3:R100)</f>
        <v>0</v>
      </c>
      <c r="J16" s="129">
        <f>SUM('gm podst'!S3:S100)</f>
        <v>221473.43999999997</v>
      </c>
      <c r="K16" s="129">
        <f>SUM('gm podst'!T3:T100)</f>
        <v>38933341.690000005</v>
      </c>
      <c r="L16" s="129">
        <f>SUM('gm podst'!U3:U100)</f>
        <v>88283586.070000008</v>
      </c>
      <c r="M16" s="129">
        <f>SUM('gm podst'!V3:V100)</f>
        <v>32723271.739999995</v>
      </c>
      <c r="N16" s="129">
        <f>SUM('gm podst'!W3:W100)</f>
        <v>15288662.209999999</v>
      </c>
      <c r="O16" s="129">
        <f>SUM('gm podst'!X3:X100)</f>
        <v>0</v>
      </c>
      <c r="P16" s="129">
        <f>SUM('gm podst'!Y3:Y100)</f>
        <v>0</v>
      </c>
      <c r="Q16" s="306">
        <f>SUM('gm podst'!Z3:Z100)</f>
        <v>0</v>
      </c>
      <c r="R16" s="20" t="b">
        <f t="shared" si="0"/>
        <v>1</v>
      </c>
      <c r="S16" s="40" t="b">
        <f t="shared" si="1"/>
        <v>1</v>
      </c>
      <c r="T16" s="21"/>
      <c r="U16" s="21"/>
      <c r="V16" s="22"/>
      <c r="W16" s="22"/>
      <c r="X16" s="22"/>
      <c r="Y16" s="22"/>
      <c r="Z16" s="22"/>
    </row>
    <row r="17" spans="1:26" ht="39.950000000000003" customHeight="1" x14ac:dyDescent="0.25">
      <c r="A17" s="300" t="s">
        <v>37</v>
      </c>
      <c r="B17" s="116">
        <f>COUNTIF('gm podst'!C3:C100,"K")</f>
        <v>38</v>
      </c>
      <c r="C17" s="117">
        <f>SUMIF('gm podst'!C3:C100,"K",'gm podst'!K3:K100)</f>
        <v>188152230.78999999</v>
      </c>
      <c r="D17" s="118">
        <f>SUMIF('gm podst'!C3:C100,"K",'gm podst'!M3:M100)</f>
        <v>104615275.27</v>
      </c>
      <c r="E17" s="48">
        <f>SUMIF('gm podst'!C3:C100,"K",'gm podst'!L3:L100)</f>
        <v>83536955.519999981</v>
      </c>
      <c r="F17" s="125">
        <f>SUMIF('gm podst'!C3:C100,"K",'gm podst'!O3:O100)</f>
        <v>0</v>
      </c>
      <c r="G17" s="117">
        <f>SUMIF('gm podst'!C3:C100,"K",'gm podst'!P3:P100)</f>
        <v>0</v>
      </c>
      <c r="H17" s="117">
        <f>SUMIF('gm podst'!C3:C100,"K",'gm podst'!Q3:Q100)</f>
        <v>0</v>
      </c>
      <c r="I17" s="117">
        <f>SUMIF('gm podst'!C3:C100,"K",'gm podst'!R3:R100)</f>
        <v>0</v>
      </c>
      <c r="J17" s="117">
        <f>SUMIF('gm podst'!C3:C100,"K",'gm podst'!S3:S100)</f>
        <v>221473.43999999997</v>
      </c>
      <c r="K17" s="117">
        <f>SUMIF('gm podst'!C3:C100,"K",'gm podst'!T3:T100)</f>
        <v>38933341.690000005</v>
      </c>
      <c r="L17" s="117">
        <f>SUMIF('gm podst'!C3:C100,"K",'gm podst'!U3:U100)</f>
        <v>27375568.979999997</v>
      </c>
      <c r="M17" s="117">
        <f>SUMIF('gm podst'!C3:C100,"K",'gm podst'!V3:V100)</f>
        <v>17006571.409999996</v>
      </c>
      <c r="N17" s="117">
        <f>SUMIF('gm podst'!C3:C100,"K",'gm podst'!W3:W100)</f>
        <v>0</v>
      </c>
      <c r="O17" s="117">
        <f>SUMIF('gm podst'!C3:C100,"K",'gm podst'!X3:X100)</f>
        <v>0</v>
      </c>
      <c r="P17" s="117">
        <f>SUMIF('gm podst'!D3:D100,"K",'gm podst'!Y3:Y100)</f>
        <v>0</v>
      </c>
      <c r="Q17" s="301">
        <f>SUMIF('gm podst'!E3:E100,"K",'gm podst'!Z3:Z100)</f>
        <v>0</v>
      </c>
      <c r="R17" s="20" t="b">
        <f t="shared" si="0"/>
        <v>1</v>
      </c>
      <c r="S17" s="40" t="b">
        <f t="shared" si="1"/>
        <v>1</v>
      </c>
      <c r="T17" s="21"/>
      <c r="U17" s="21"/>
      <c r="V17" s="22"/>
      <c r="W17" s="22"/>
      <c r="X17" s="22"/>
      <c r="Y17" s="22"/>
      <c r="Z17" s="22"/>
    </row>
    <row r="18" spans="1:26" ht="39.950000000000003" customHeight="1" x14ac:dyDescent="0.25">
      <c r="A18" s="302" t="s">
        <v>38</v>
      </c>
      <c r="B18" s="119">
        <f>COUNTIF('gm podst'!C3:C100,"N")</f>
        <v>47</v>
      </c>
      <c r="C18" s="120">
        <f>SUMIF('gm podst'!C3:C100,"N",'gm podst'!K3:K100)</f>
        <v>101252756.94999999</v>
      </c>
      <c r="D18" s="121">
        <f>SUMIF('gm podst'!C3:C100,"N",'gm podst'!M3:M100)</f>
        <v>49467447.260000005</v>
      </c>
      <c r="E18" s="47">
        <f>SUMIF('gm podst'!C3:C100,"N",'gm podst'!L3:L100)</f>
        <v>51785309.690000005</v>
      </c>
      <c r="F18" s="126">
        <f>SUMIF('gm podst'!C3:C100,"N",'gm podst'!O3:O100)</f>
        <v>0</v>
      </c>
      <c r="G18" s="120">
        <f>SUMIF('gm podst'!C3:C100,"N",'gm podst'!P3:P100)</f>
        <v>0</v>
      </c>
      <c r="H18" s="120">
        <f>SUMIF('gm podst'!C3:C100,"N",'gm podst'!Q3:Q100)</f>
        <v>0</v>
      </c>
      <c r="I18" s="120">
        <f>SUMIF('gm podst'!C3:C100,"N",'gm podst'!R3:R100)</f>
        <v>0</v>
      </c>
      <c r="J18" s="120">
        <f>SUMIF('gm podst'!C3:C100,"N",'gm podst'!S3:S100)</f>
        <v>0</v>
      </c>
      <c r="K18" s="120">
        <f>SUMIF('gm podst'!C3:C100,"N",'gm podst'!T3:T100)</f>
        <v>0</v>
      </c>
      <c r="L18" s="120">
        <f>SUMIF('gm podst'!C3:C100,"N",'gm podst'!U3:U100)</f>
        <v>51785309.690000005</v>
      </c>
      <c r="M18" s="120">
        <f>SUMIF('gm podst'!C3:C100,"N",'gm podst'!V3:V100)</f>
        <v>0</v>
      </c>
      <c r="N18" s="120">
        <f>SUMIF('gm podst'!C3:C100,"N",'gm podst'!W3:W100)</f>
        <v>0</v>
      </c>
      <c r="O18" s="120">
        <f>SUMIF('gm podst'!C3:C100,"N",'gm podst'!X3:X100)</f>
        <v>0</v>
      </c>
      <c r="P18" s="120">
        <f>SUMIF('gm podst'!D3:D100,"N",'gm podst'!Y3:Y100)</f>
        <v>0</v>
      </c>
      <c r="Q18" s="303">
        <f>SUMIF('gm podst'!E3:E100,"N",'gm podst'!Z3:Z100)</f>
        <v>0</v>
      </c>
      <c r="R18" s="20" t="b">
        <f t="shared" si="0"/>
        <v>1</v>
      </c>
      <c r="S18" s="40" t="b">
        <f t="shared" si="1"/>
        <v>1</v>
      </c>
      <c r="T18" s="21"/>
      <c r="U18" s="21"/>
      <c r="V18" s="22"/>
      <c r="W18" s="22"/>
      <c r="X18" s="22"/>
      <c r="Y18" s="22"/>
      <c r="Z18" s="22"/>
    </row>
    <row r="19" spans="1:26" ht="39.950000000000003" customHeight="1" thickBot="1" x14ac:dyDescent="0.3">
      <c r="A19" s="304" t="s">
        <v>39</v>
      </c>
      <c r="B19" s="122">
        <f>COUNTIF('gm podst'!C3:C100,"W")</f>
        <v>13</v>
      </c>
      <c r="C19" s="123">
        <f>SUMIF('gm podst'!C3:C100,"W",'gm podst'!K3:K100)</f>
        <v>93721432.069999993</v>
      </c>
      <c r="D19" s="124">
        <f>SUMIF('gm podst'!C3:C100,"W",'gm podst'!M3:M100)</f>
        <v>53593362.129999995</v>
      </c>
      <c r="E19" s="94">
        <f>SUMIF('gm podst'!C3:C100,"W",'gm podst'!L3:L100)</f>
        <v>40128069.939999998</v>
      </c>
      <c r="F19" s="127">
        <f>SUMIF('gm podst'!C3:C100,"W",'gm podst'!O3:O100)</f>
        <v>0</v>
      </c>
      <c r="G19" s="123">
        <f>SUMIF('gm podst'!C3:C100,"W",'gm podst'!P3:P100)</f>
        <v>0</v>
      </c>
      <c r="H19" s="123">
        <f>SUMIF('gm podst'!C3:C100,"W",'gm podst'!Q3:Q100)</f>
        <v>0</v>
      </c>
      <c r="I19" s="123">
        <f>SUMIF('gm podst'!C3:C100,"W",'gm podst'!R3:R100)</f>
        <v>0</v>
      </c>
      <c r="J19" s="123">
        <f>SUMIF('gm podst'!C3:C100,"W",'gm podst'!S3:S100)</f>
        <v>0</v>
      </c>
      <c r="K19" s="123">
        <f>SUMIF('gm podst'!C3:C100,"W",'gm podst'!T3:T100)</f>
        <v>0</v>
      </c>
      <c r="L19" s="123">
        <f>SUMIF('gm podst'!C3:C100,"W",'gm podst'!U3:U100)</f>
        <v>9122707.4000000004</v>
      </c>
      <c r="M19" s="123">
        <f>SUMIF('gm podst'!C3:C100,"W",'gm podst'!V3:V100)</f>
        <v>15716700.33</v>
      </c>
      <c r="N19" s="123">
        <f>SUMIF('gm podst'!C3:C100,"W",'gm podst'!W3:W100)</f>
        <v>15288662.209999999</v>
      </c>
      <c r="O19" s="123">
        <f>SUMIF('gm podst'!C3:C100,"W",'gm podst'!X3:X100)</f>
        <v>0</v>
      </c>
      <c r="P19" s="123">
        <f>SUMIF('gm podst'!D3:D100,"W",'gm podst'!Y3:Y100)</f>
        <v>0</v>
      </c>
      <c r="Q19" s="305">
        <f>SUMIF('gm podst'!E3:E100,"W",'gm podst'!Z3:Z100)</f>
        <v>0</v>
      </c>
      <c r="R19" s="20" t="b">
        <f t="shared" si="0"/>
        <v>1</v>
      </c>
      <c r="S19" s="40" t="b">
        <f t="shared" si="1"/>
        <v>1</v>
      </c>
      <c r="T19" s="21"/>
      <c r="U19" s="21"/>
      <c r="V19" s="22"/>
      <c r="W19" s="22"/>
      <c r="X19" s="22"/>
      <c r="Y19" s="22"/>
      <c r="Z19" s="22"/>
    </row>
    <row r="20" spans="1:26" s="26" customFormat="1" ht="39.950000000000003" customHeight="1" thickTop="1" x14ac:dyDescent="0.25">
      <c r="A20" s="307" t="s">
        <v>41</v>
      </c>
      <c r="B20" s="95">
        <f>B12+B16</f>
        <v>156</v>
      </c>
      <c r="C20" s="96">
        <f>C12+C16</f>
        <v>851310190.76999998</v>
      </c>
      <c r="D20" s="97">
        <f t="shared" ref="C20:O22" si="2">D12+D16</f>
        <v>441062484.61599994</v>
      </c>
      <c r="E20" s="98">
        <f t="shared" si="2"/>
        <v>410247706.15399998</v>
      </c>
      <c r="F20" s="99">
        <f t="shared" si="2"/>
        <v>0</v>
      </c>
      <c r="G20" s="96">
        <f t="shared" si="2"/>
        <v>0</v>
      </c>
      <c r="H20" s="96">
        <f t="shared" si="2"/>
        <v>0</v>
      </c>
      <c r="I20" s="96">
        <f t="shared" si="2"/>
        <v>94647.56</v>
      </c>
      <c r="J20" s="96">
        <f t="shared" si="2"/>
        <v>4177543.3299999996</v>
      </c>
      <c r="K20" s="96">
        <f t="shared" si="2"/>
        <v>95028930.909999996</v>
      </c>
      <c r="L20" s="96">
        <f t="shared" si="2"/>
        <v>202304615.074</v>
      </c>
      <c r="M20" s="96">
        <f t="shared" si="2"/>
        <v>74055275.069999993</v>
      </c>
      <c r="N20" s="96">
        <f t="shared" si="2"/>
        <v>31493183.210000001</v>
      </c>
      <c r="O20" s="96">
        <f t="shared" si="2"/>
        <v>3093511</v>
      </c>
      <c r="P20" s="96">
        <f t="shared" ref="P20:Q20" si="3">P12+P16</f>
        <v>0</v>
      </c>
      <c r="Q20" s="308">
        <f t="shared" si="3"/>
        <v>0</v>
      </c>
      <c r="R20" s="20" t="b">
        <f t="shared" si="0"/>
        <v>1</v>
      </c>
      <c r="S20" s="40" t="b">
        <f t="shared" si="1"/>
        <v>1</v>
      </c>
      <c r="T20" s="24"/>
      <c r="U20" s="24"/>
      <c r="V20" s="25"/>
      <c r="W20" s="25"/>
      <c r="X20" s="25"/>
      <c r="Y20" s="25"/>
      <c r="Z20" s="25"/>
    </row>
    <row r="21" spans="1:26" s="26" customFormat="1" ht="39.950000000000003" customHeight="1" x14ac:dyDescent="0.25">
      <c r="A21" s="309" t="s">
        <v>37</v>
      </c>
      <c r="B21" s="71">
        <f>B13+B17</f>
        <v>70</v>
      </c>
      <c r="C21" s="63">
        <f t="shared" si="2"/>
        <v>484815438.62</v>
      </c>
      <c r="D21" s="76">
        <f t="shared" si="2"/>
        <v>250515077.176</v>
      </c>
      <c r="E21" s="48">
        <f t="shared" si="2"/>
        <v>234300361.44399998</v>
      </c>
      <c r="F21" s="81">
        <f t="shared" si="2"/>
        <v>0</v>
      </c>
      <c r="G21" s="63">
        <f t="shared" si="2"/>
        <v>0</v>
      </c>
      <c r="H21" s="63">
        <f t="shared" si="2"/>
        <v>0</v>
      </c>
      <c r="I21" s="63">
        <f t="shared" si="2"/>
        <v>94647.56</v>
      </c>
      <c r="J21" s="63">
        <f t="shared" si="2"/>
        <v>4177543.3299999996</v>
      </c>
      <c r="K21" s="63">
        <f t="shared" si="2"/>
        <v>95028930.909999996</v>
      </c>
      <c r="L21" s="63">
        <f t="shared" si="2"/>
        <v>81647512.143999994</v>
      </c>
      <c r="M21" s="63">
        <f t="shared" si="2"/>
        <v>53351727.5</v>
      </c>
      <c r="N21" s="63">
        <f t="shared" si="2"/>
        <v>0</v>
      </c>
      <c r="O21" s="63">
        <f t="shared" si="2"/>
        <v>0</v>
      </c>
      <c r="P21" s="63">
        <f t="shared" ref="P21:Q21" si="4">P13+P17</f>
        <v>0</v>
      </c>
      <c r="Q21" s="310">
        <f t="shared" si="4"/>
        <v>0</v>
      </c>
      <c r="R21" s="20" t="b">
        <f t="shared" si="0"/>
        <v>1</v>
      </c>
      <c r="S21" s="40" t="b">
        <f>E21=SUM(F21:Q21)</f>
        <v>1</v>
      </c>
      <c r="T21" s="24"/>
      <c r="U21" s="24"/>
      <c r="V21" s="25"/>
      <c r="W21" s="25"/>
      <c r="X21" s="25"/>
      <c r="Y21" s="25"/>
      <c r="Z21" s="25"/>
    </row>
    <row r="22" spans="1:26" s="26" customFormat="1" ht="39.950000000000003" customHeight="1" x14ac:dyDescent="0.25">
      <c r="A22" s="311" t="s">
        <v>38</v>
      </c>
      <c r="B22" s="72">
        <f>B14+B18</f>
        <v>66</v>
      </c>
      <c r="C22" s="66">
        <f t="shared" si="2"/>
        <v>203297417.79999998</v>
      </c>
      <c r="D22" s="77">
        <f t="shared" si="2"/>
        <v>102216094.17000002</v>
      </c>
      <c r="E22" s="47">
        <f t="shared" si="2"/>
        <v>101081323.63</v>
      </c>
      <c r="F22" s="82">
        <f t="shared" si="2"/>
        <v>0</v>
      </c>
      <c r="G22" s="66">
        <f t="shared" si="2"/>
        <v>0</v>
      </c>
      <c r="H22" s="66">
        <f t="shared" si="2"/>
        <v>0</v>
      </c>
      <c r="I22" s="66">
        <f t="shared" si="2"/>
        <v>0</v>
      </c>
      <c r="J22" s="66">
        <f t="shared" si="2"/>
        <v>0</v>
      </c>
      <c r="K22" s="66">
        <f t="shared" si="2"/>
        <v>0</v>
      </c>
      <c r="L22" s="66">
        <f t="shared" si="2"/>
        <v>101081323.63</v>
      </c>
      <c r="M22" s="66">
        <f t="shared" si="2"/>
        <v>0</v>
      </c>
      <c r="N22" s="66">
        <f t="shared" si="2"/>
        <v>0</v>
      </c>
      <c r="O22" s="66">
        <f t="shared" si="2"/>
        <v>0</v>
      </c>
      <c r="P22" s="66">
        <f t="shared" ref="P22:Q22" si="5">P14+P18</f>
        <v>0</v>
      </c>
      <c r="Q22" s="312">
        <f t="shared" si="5"/>
        <v>0</v>
      </c>
      <c r="R22" s="20" t="b">
        <f t="shared" si="0"/>
        <v>1</v>
      </c>
      <c r="S22" s="40" t="b">
        <f t="shared" si="1"/>
        <v>1</v>
      </c>
      <c r="T22" s="24"/>
      <c r="U22" s="24"/>
      <c r="V22" s="25"/>
      <c r="W22" s="25"/>
      <c r="X22" s="25"/>
      <c r="Y22" s="25"/>
      <c r="Z22" s="25"/>
    </row>
    <row r="23" spans="1:26" s="26" customFormat="1" ht="39.950000000000003" customHeight="1" thickBot="1" x14ac:dyDescent="0.3">
      <c r="A23" s="313" t="s">
        <v>39</v>
      </c>
      <c r="B23" s="100">
        <f>B15+B19</f>
        <v>20</v>
      </c>
      <c r="C23" s="101">
        <f t="shared" ref="C23:O23" si="6">C15+C19</f>
        <v>163197334.34999999</v>
      </c>
      <c r="D23" s="102">
        <f t="shared" si="6"/>
        <v>88331313.269999996</v>
      </c>
      <c r="E23" s="94">
        <f t="shared" si="6"/>
        <v>74866021.079999998</v>
      </c>
      <c r="F23" s="103">
        <f t="shared" si="6"/>
        <v>0</v>
      </c>
      <c r="G23" s="101">
        <f t="shared" si="6"/>
        <v>0</v>
      </c>
      <c r="H23" s="101">
        <f t="shared" si="6"/>
        <v>0</v>
      </c>
      <c r="I23" s="101">
        <f t="shared" si="6"/>
        <v>0</v>
      </c>
      <c r="J23" s="101">
        <f t="shared" si="6"/>
        <v>0</v>
      </c>
      <c r="K23" s="101">
        <f t="shared" si="6"/>
        <v>0</v>
      </c>
      <c r="L23" s="101">
        <f t="shared" si="6"/>
        <v>19575779.300000001</v>
      </c>
      <c r="M23" s="101">
        <f t="shared" si="6"/>
        <v>20703547.57</v>
      </c>
      <c r="N23" s="101">
        <f t="shared" si="6"/>
        <v>31493183.210000001</v>
      </c>
      <c r="O23" s="101">
        <f t="shared" si="6"/>
        <v>3093511</v>
      </c>
      <c r="P23" s="101">
        <f t="shared" ref="P23:Q23" si="7">P15+P19</f>
        <v>0</v>
      </c>
      <c r="Q23" s="314">
        <f t="shared" si="7"/>
        <v>0</v>
      </c>
      <c r="R23" s="20" t="b">
        <f t="shared" si="0"/>
        <v>1</v>
      </c>
      <c r="S23" s="40" t="b">
        <f t="shared" si="1"/>
        <v>1</v>
      </c>
      <c r="T23" s="24"/>
      <c r="U23" s="24"/>
      <c r="V23" s="25"/>
      <c r="W23" s="25"/>
      <c r="X23" s="25"/>
      <c r="Y23" s="25"/>
      <c r="Z23" s="25"/>
    </row>
    <row r="24" spans="1:26" ht="39.950000000000003" customHeight="1" thickTop="1" x14ac:dyDescent="0.25">
      <c r="A24" s="298" t="s">
        <v>2</v>
      </c>
      <c r="B24" s="89">
        <f>COUNTA('pow rez'!K3:K34)</f>
        <v>32</v>
      </c>
      <c r="C24" s="90">
        <f>SUM('pow rez'!J3:J34)</f>
        <v>257369686.64999998</v>
      </c>
      <c r="D24" s="91">
        <f>SUM('pow rez'!L3:L34)</f>
        <v>129775968.91</v>
      </c>
      <c r="E24" s="92">
        <f>SUM('pow rez'!K3:K34)</f>
        <v>127593717.73999999</v>
      </c>
      <c r="F24" s="93">
        <f>SUM('pow rez'!N3:N34)</f>
        <v>0</v>
      </c>
      <c r="G24" s="90">
        <f>SUM('pow rez'!O3:O34)</f>
        <v>0</v>
      </c>
      <c r="H24" s="90">
        <f>SUM('pow rez'!P3:P34)</f>
        <v>0</v>
      </c>
      <c r="I24" s="90">
        <f>SUM('pow rez'!Q3:Q34)</f>
        <v>0</v>
      </c>
      <c r="J24" s="90">
        <f>SUM('pow rez'!R3:R34)</f>
        <v>0</v>
      </c>
      <c r="K24" s="90">
        <f>SUM('pow rez'!S3:S34)</f>
        <v>0</v>
      </c>
      <c r="L24" s="90">
        <f>SUM('pow rez'!T3:T34)</f>
        <v>75429631.430000007</v>
      </c>
      <c r="M24" s="90">
        <f>SUM('pow rez'!U3:U34)</f>
        <v>20515975.830000002</v>
      </c>
      <c r="N24" s="90">
        <f>SUM('pow rez'!V3:V34)</f>
        <v>31648110.48</v>
      </c>
      <c r="O24" s="90">
        <f>SUM('pow rez'!W3:W34)</f>
        <v>0</v>
      </c>
      <c r="P24" s="90">
        <f>SUM('pow rez'!X3:X34)</f>
        <v>0</v>
      </c>
      <c r="Q24" s="299">
        <f>SUM('pow rez'!Y3:Y34)</f>
        <v>0</v>
      </c>
      <c r="R24" s="20" t="b">
        <f t="shared" si="0"/>
        <v>1</v>
      </c>
      <c r="S24" s="40" t="b">
        <f t="shared" si="1"/>
        <v>1</v>
      </c>
      <c r="T24" s="21"/>
      <c r="U24" s="21"/>
      <c r="V24" s="22"/>
      <c r="W24" s="22"/>
      <c r="X24" s="22"/>
      <c r="Y24" s="22"/>
      <c r="Z24" s="22"/>
    </row>
    <row r="25" spans="1:26" ht="39.950000000000003" customHeight="1" x14ac:dyDescent="0.25">
      <c r="A25" s="302" t="s">
        <v>38</v>
      </c>
      <c r="B25" s="119">
        <f>COUNTIF('pow rez'!C3:C34,"N")</f>
        <v>16</v>
      </c>
      <c r="C25" s="120">
        <f>SUMIF('pow rez'!C3:C34,"N",'pow rez'!J3:J34)</f>
        <v>111658219.66999999</v>
      </c>
      <c r="D25" s="121">
        <f>SUMIF('pow rez'!C3:C34,"N",'pow rez'!L3:L34)</f>
        <v>55829109.839999989</v>
      </c>
      <c r="E25" s="47">
        <f>SUMIF('pow rez'!C3:C34,"N",'pow rez'!K3:K34)</f>
        <v>55829109.829999991</v>
      </c>
      <c r="F25" s="126">
        <f>SUMIF('pow rez'!C3:C34,"N",'pow rez'!N3:N34)</f>
        <v>0</v>
      </c>
      <c r="G25" s="120">
        <f>SUMIF('pow rez'!C3:C34,"N",'pow rez'!O3:O34)</f>
        <v>0</v>
      </c>
      <c r="H25" s="120">
        <f>SUMIF('pow rez'!C3:C34,"N",'pow rez'!P3:P34)</f>
        <v>0</v>
      </c>
      <c r="I25" s="120">
        <f>SUMIF('pow rez'!C3:C34,"N",'pow rez'!Q3:Q34)</f>
        <v>0</v>
      </c>
      <c r="J25" s="120">
        <f>SUMIF('pow rez'!C3:C34,"N",'pow rez'!R3:R34)</f>
        <v>0</v>
      </c>
      <c r="K25" s="120">
        <f>SUMIF('pow rez'!C3:C34,"N",'pow rez'!S3:S34)</f>
        <v>0</v>
      </c>
      <c r="L25" s="120">
        <f>SUMIF('pow rez'!C3:C34,"N",'pow rez'!T3:T34)</f>
        <v>55829109.829999991</v>
      </c>
      <c r="M25" s="120">
        <f>SUMIF('pow rez'!C3:C34,"N",'pow rez'!U3:U34)</f>
        <v>0</v>
      </c>
      <c r="N25" s="120">
        <f>SUMIF('pow rez'!C3:C34,"N",'pow rez'!V3:V34)</f>
        <v>0</v>
      </c>
      <c r="O25" s="120">
        <f>SUMIF('pow rez'!C3:C34,"N",'pow rez'!W3:W34)</f>
        <v>0</v>
      </c>
      <c r="P25" s="120">
        <f>SUMIF('pow rez'!D3:D34,"N",'pow rez'!X3:X34)</f>
        <v>0</v>
      </c>
      <c r="Q25" s="303">
        <f>SUMIF('pow rez'!E3:E34,"N",'pow rez'!Y3:Y34)</f>
        <v>0</v>
      </c>
      <c r="R25" s="20" t="b">
        <f t="shared" si="0"/>
        <v>1</v>
      </c>
      <c r="S25" s="40" t="b">
        <f t="shared" si="1"/>
        <v>1</v>
      </c>
      <c r="T25" s="21"/>
      <c r="U25" s="21"/>
      <c r="V25" s="22"/>
      <c r="W25" s="22"/>
      <c r="X25" s="22"/>
      <c r="Y25" s="22"/>
      <c r="Z25" s="22"/>
    </row>
    <row r="26" spans="1:26" ht="39.950000000000003" customHeight="1" thickBot="1" x14ac:dyDescent="0.3">
      <c r="A26" s="304" t="s">
        <v>39</v>
      </c>
      <c r="B26" s="122">
        <f>COUNTIF('pow rez'!C3:C34,"W")</f>
        <v>16</v>
      </c>
      <c r="C26" s="123">
        <f>SUMIF('pow rez'!C3:C34,"W",'pow rez'!J3:J34)</f>
        <v>145711466.97999999</v>
      </c>
      <c r="D26" s="124">
        <f>SUMIF('pow rez'!C3:C34,"W",'pow rez'!L3:L34)</f>
        <v>73946859.069999993</v>
      </c>
      <c r="E26" s="94">
        <f>SUMIF('pow rez'!C3:C34,"W",'pow rez'!K3:K34)</f>
        <v>71764607.909999996</v>
      </c>
      <c r="F26" s="127">
        <f>SUMIF('pow rez'!C3:C34,"W",'pow rez'!N3:N34)</f>
        <v>0</v>
      </c>
      <c r="G26" s="123">
        <f>SUMIF('pow rez'!C3:C34,"W",'pow rez'!O3:O34)</f>
        <v>0</v>
      </c>
      <c r="H26" s="123">
        <f>SUMIF('pow rez'!C3:C34,"W",'pow rez'!P3:P34)</f>
        <v>0</v>
      </c>
      <c r="I26" s="123">
        <f>SUMIF('pow rez'!C3:C34,"W",'pow rez'!Q3:Q34)</f>
        <v>0</v>
      </c>
      <c r="J26" s="123">
        <f>SUMIF('pow rez'!C3:C34,"W",'pow rez'!R3:R34)</f>
        <v>0</v>
      </c>
      <c r="K26" s="123">
        <f>SUMIF('pow rez'!C3:C34,"W",'pow rez'!S3:S34)</f>
        <v>0</v>
      </c>
      <c r="L26" s="123">
        <f>SUMIF('pow rez'!C3:C34,"W",'pow rez'!T3:T34)</f>
        <v>19600521.600000001</v>
      </c>
      <c r="M26" s="123">
        <f>SUMIF('pow rez'!C3:C34,"W",'pow rez'!U3:U34)</f>
        <v>20515975.830000002</v>
      </c>
      <c r="N26" s="123">
        <f>SUMIF('pow rez'!C3:C34,"W",'pow rez'!V3:V34)</f>
        <v>31648110.48</v>
      </c>
      <c r="O26" s="123">
        <f>SUMIF('pow rez'!C3:C34,"W",'pow rez'!W3:W34)</f>
        <v>0</v>
      </c>
      <c r="P26" s="123">
        <f>SUMIF('pow rez'!D3:D34,"W",'pow rez'!X3:X34)</f>
        <v>0</v>
      </c>
      <c r="Q26" s="305">
        <f>SUMIF('pow rez'!E3:E34,"W",'pow rez'!Y3:Y34)</f>
        <v>0</v>
      </c>
      <c r="R26" s="20" t="b">
        <f t="shared" si="0"/>
        <v>1</v>
      </c>
      <c r="S26" s="40" t="b">
        <f t="shared" si="1"/>
        <v>1</v>
      </c>
      <c r="T26" s="21"/>
      <c r="U26" s="21"/>
      <c r="V26" s="22"/>
      <c r="W26" s="22"/>
      <c r="X26" s="22"/>
      <c r="Y26" s="22"/>
      <c r="Z26" s="22"/>
    </row>
    <row r="27" spans="1:26" ht="39.950000000000003" customHeight="1" thickTop="1" x14ac:dyDescent="0.25">
      <c r="A27" s="298" t="s">
        <v>3</v>
      </c>
      <c r="B27" s="89">
        <f>COUNTA('gm rez'!L3:L50)</f>
        <v>48</v>
      </c>
      <c r="C27" s="90">
        <f>SUM('gm rez'!K3:K50)</f>
        <v>205852850.66999999</v>
      </c>
      <c r="D27" s="91">
        <f>SUM('gm rez'!M3:M50)</f>
        <v>104528558.89999999</v>
      </c>
      <c r="E27" s="92">
        <f>SUM('gm rez'!L3:L50)</f>
        <v>101324291.76999998</v>
      </c>
      <c r="F27" s="93">
        <f>SUM('gm rez'!O3:O50)</f>
        <v>0</v>
      </c>
      <c r="G27" s="90">
        <f>SUM('gm rez'!P3:P50)</f>
        <v>0</v>
      </c>
      <c r="H27" s="90">
        <f>SUM('gm rez'!Q3:Q50)</f>
        <v>0</v>
      </c>
      <c r="I27" s="90">
        <f>SUM('gm rez'!R3:R50)</f>
        <v>0</v>
      </c>
      <c r="J27" s="90">
        <f>SUM('gm rez'!S3:S50)</f>
        <v>0</v>
      </c>
      <c r="K27" s="90">
        <f>SUM('gm rez'!T3:T50)</f>
        <v>0</v>
      </c>
      <c r="L27" s="90">
        <f>SUM('gm rez'!U3:U50)</f>
        <v>75429631.429999977</v>
      </c>
      <c r="M27" s="90">
        <f>SUM('gm rez'!V3:V50)</f>
        <v>15053412.52</v>
      </c>
      <c r="N27" s="90">
        <f>SUM('gm rez'!W3:W50)</f>
        <v>10841247.82</v>
      </c>
      <c r="O27" s="90">
        <f>SUM('gm rez'!X3:X50)</f>
        <v>0</v>
      </c>
      <c r="P27" s="90">
        <f>SUM('gm rez'!Y3:Y50)</f>
        <v>0</v>
      </c>
      <c r="Q27" s="299">
        <f>SUM('gm rez'!Z3:Z50)</f>
        <v>0</v>
      </c>
      <c r="R27" s="20" t="b">
        <f t="shared" si="0"/>
        <v>1</v>
      </c>
      <c r="S27" s="40" t="b">
        <f t="shared" si="1"/>
        <v>1</v>
      </c>
      <c r="T27" s="27"/>
      <c r="U27" s="27"/>
      <c r="V27" s="28"/>
      <c r="W27" s="28"/>
      <c r="X27" s="23"/>
      <c r="Y27" s="12"/>
      <c r="Z27" s="12"/>
    </row>
    <row r="28" spans="1:26" ht="39.950000000000003" customHeight="1" x14ac:dyDescent="0.25">
      <c r="A28" s="302" t="s">
        <v>38</v>
      </c>
      <c r="B28" s="119">
        <f>COUNTIF('gm rez'!C3:C50,"N")</f>
        <v>36</v>
      </c>
      <c r="C28" s="120">
        <f>SUMIF('gm rez'!C3:C50,"N",'gm rez'!K3:K50)</f>
        <v>131140694.3</v>
      </c>
      <c r="D28" s="121">
        <f>SUMIF('gm rez'!C3:C50,"N",'gm rez'!M3:M50)</f>
        <v>67172480.710000008</v>
      </c>
      <c r="E28" s="47">
        <f>SUMIF('gm rez'!C3:C50,"N",'gm rez'!L3:L50)</f>
        <v>63968213.590000004</v>
      </c>
      <c r="F28" s="126">
        <f>SUMIF('gm rez'!C3:C50,"N",'gm rez'!O3:O50)</f>
        <v>0</v>
      </c>
      <c r="G28" s="120">
        <f>SUMIF('gm rez'!C3:C50,"N",'gm rez'!P3:P50)</f>
        <v>0</v>
      </c>
      <c r="H28" s="120">
        <f>SUMIF('gm rez'!C3:C50,"N",'gm rez'!Q3:Q50)</f>
        <v>0</v>
      </c>
      <c r="I28" s="120">
        <f>SUMIF('gm rez'!C3:C50,"N",'gm rez'!R3:R50)</f>
        <v>0</v>
      </c>
      <c r="J28" s="120">
        <f>SUMIF('gm rez'!C3:C50,"N",'gm rez'!S3:S50)</f>
        <v>0</v>
      </c>
      <c r="K28" s="120">
        <f>SUMIF('gm rez'!C3:C50,"N",'gm rez'!T3:T50)</f>
        <v>0</v>
      </c>
      <c r="L28" s="120">
        <f>SUMIF('gm rez'!C3:C50,"N",'gm rez'!U3:U50)</f>
        <v>63968213.590000004</v>
      </c>
      <c r="M28" s="120">
        <f>SUMIF('gm rez'!C3:C50,"N",'gm rez'!V3:V50)</f>
        <v>0</v>
      </c>
      <c r="N28" s="120">
        <f>SUMIF('gm rez'!C3:C50,"N",'gm rez'!W3:W50)</f>
        <v>0</v>
      </c>
      <c r="O28" s="120">
        <f>SUMIF('gm rez'!C3:C50,"N",'gm rez'!X3:X50)</f>
        <v>0</v>
      </c>
      <c r="P28" s="120">
        <f>SUMIF('gm rez'!D3:D50,"N",'gm rez'!Y3:Y50)</f>
        <v>0</v>
      </c>
      <c r="Q28" s="303">
        <f>SUMIF('gm rez'!E3:E50,"N",'gm rez'!Z3:Z50)</f>
        <v>0</v>
      </c>
      <c r="R28" s="20" t="b">
        <f t="shared" si="0"/>
        <v>1</v>
      </c>
      <c r="S28" s="40" t="b">
        <f t="shared" si="1"/>
        <v>1</v>
      </c>
      <c r="T28" s="27"/>
      <c r="U28" s="27"/>
      <c r="V28" s="28"/>
      <c r="W28" s="28"/>
      <c r="X28" s="23"/>
      <c r="Y28" s="12"/>
      <c r="Z28" s="12"/>
    </row>
    <row r="29" spans="1:26" ht="39.950000000000003" customHeight="1" thickBot="1" x14ac:dyDescent="0.3">
      <c r="A29" s="304" t="s">
        <v>39</v>
      </c>
      <c r="B29" s="122">
        <f>COUNTIF('gm rez'!C3:C50,"W")</f>
        <v>12</v>
      </c>
      <c r="C29" s="123">
        <f>SUMIF('gm rez'!C3:C50,"W",'gm rez'!K3:K50)</f>
        <v>74712156.370000005</v>
      </c>
      <c r="D29" s="124">
        <f>SUMIF('gm rez'!C3:C50,"W",'gm rez'!M3:M50)</f>
        <v>37356078.189999998</v>
      </c>
      <c r="E29" s="94">
        <f>SUMIF('gm rez'!C3:C50,"W",'gm rez'!L3:L50)</f>
        <v>37356078.18</v>
      </c>
      <c r="F29" s="127">
        <f>SUMIF('gm rez'!C3:C50,"W",'gm rez'!O3:O50)</f>
        <v>0</v>
      </c>
      <c r="G29" s="123">
        <f>SUMIF('gm rez'!C3:C50,"W",'gm rez'!P3:P50)</f>
        <v>0</v>
      </c>
      <c r="H29" s="123">
        <f>SUMIF('gm rez'!C3:C50,"W",'gm rez'!Q3:Q50)</f>
        <v>0</v>
      </c>
      <c r="I29" s="123">
        <f>SUMIF('gm rez'!C3:C50,"W",'gm rez'!R3:R50)</f>
        <v>0</v>
      </c>
      <c r="J29" s="123">
        <f>SUMIF('gm rez'!C3:C50,"W",'gm rez'!S3:S50)</f>
        <v>0</v>
      </c>
      <c r="K29" s="123">
        <f>SUMIF('gm rez'!C3:C50,"W",'gm rez'!T3:T50)</f>
        <v>0</v>
      </c>
      <c r="L29" s="123">
        <f>SUMIF('gm rez'!C3:C50,"W",'gm rez'!U3:U50)</f>
        <v>11461417.84</v>
      </c>
      <c r="M29" s="123">
        <f>SUMIF('gm rez'!C3:C50,"W",'gm rez'!V3:V50)</f>
        <v>15053412.52</v>
      </c>
      <c r="N29" s="123">
        <f>SUMIF('gm rez'!C3:C50,"W",'gm rez'!W3:W50)</f>
        <v>10841247.82</v>
      </c>
      <c r="O29" s="123">
        <f>SUMIF('gm rez'!C3:C50,"W",'gm rez'!X3:X50)</f>
        <v>0</v>
      </c>
      <c r="P29" s="123">
        <f>SUMIF('gm rez'!D3:D50,"W",'gm rez'!Y3:Y50)</f>
        <v>0</v>
      </c>
      <c r="Q29" s="305">
        <f>SUMIF('gm rez'!E3:E50,"W",'gm rez'!Z3:Z50)</f>
        <v>0</v>
      </c>
      <c r="R29" s="20" t="b">
        <f t="shared" si="0"/>
        <v>1</v>
      </c>
      <c r="S29" s="40" t="b">
        <f t="shared" si="1"/>
        <v>1</v>
      </c>
      <c r="T29" s="27"/>
      <c r="U29" s="27"/>
      <c r="V29" s="28"/>
      <c r="W29" s="28"/>
      <c r="X29" s="23"/>
      <c r="Y29" s="12"/>
      <c r="Z29" s="12"/>
    </row>
    <row r="30" spans="1:26" ht="39.950000000000003" customHeight="1" thickTop="1" x14ac:dyDescent="0.25">
      <c r="A30" s="135" t="s">
        <v>22</v>
      </c>
      <c r="B30" s="136">
        <f>B24+B27</f>
        <v>80</v>
      </c>
      <c r="C30" s="137">
        <f t="shared" ref="C30:O30" si="8">C24+C27</f>
        <v>463222537.31999993</v>
      </c>
      <c r="D30" s="138">
        <f t="shared" si="8"/>
        <v>234304527.81</v>
      </c>
      <c r="E30" s="139">
        <f t="shared" si="8"/>
        <v>228918009.50999999</v>
      </c>
      <c r="F30" s="140">
        <f t="shared" si="8"/>
        <v>0</v>
      </c>
      <c r="G30" s="137">
        <f t="shared" si="8"/>
        <v>0</v>
      </c>
      <c r="H30" s="137">
        <f t="shared" si="8"/>
        <v>0</v>
      </c>
      <c r="I30" s="137">
        <f t="shared" si="8"/>
        <v>0</v>
      </c>
      <c r="J30" s="137">
        <f t="shared" si="8"/>
        <v>0</v>
      </c>
      <c r="K30" s="137">
        <f t="shared" si="8"/>
        <v>0</v>
      </c>
      <c r="L30" s="137">
        <f t="shared" si="8"/>
        <v>150859262.85999998</v>
      </c>
      <c r="M30" s="137">
        <f t="shared" si="8"/>
        <v>35569388.350000001</v>
      </c>
      <c r="N30" s="137">
        <f t="shared" si="8"/>
        <v>42489358.299999997</v>
      </c>
      <c r="O30" s="137">
        <f t="shared" si="8"/>
        <v>0</v>
      </c>
      <c r="P30" s="137">
        <f t="shared" ref="P30:Q30" si="9">P24+P27</f>
        <v>0</v>
      </c>
      <c r="Q30" s="141">
        <f t="shared" si="9"/>
        <v>0</v>
      </c>
      <c r="R30" s="20" t="b">
        <f t="shared" si="0"/>
        <v>1</v>
      </c>
      <c r="S30" s="40" t="b">
        <f t="shared" si="1"/>
        <v>1</v>
      </c>
      <c r="T30" s="29"/>
      <c r="U30" s="29"/>
      <c r="V30" s="2"/>
      <c r="W30" s="2"/>
    </row>
    <row r="31" spans="1:26" ht="39.950000000000003" customHeight="1" x14ac:dyDescent="0.25">
      <c r="A31" s="75" t="s">
        <v>38</v>
      </c>
      <c r="B31" s="73">
        <f t="shared" ref="B31:O31" si="10">B25+B28</f>
        <v>52</v>
      </c>
      <c r="C31" s="64">
        <f t="shared" si="10"/>
        <v>242798913.96999997</v>
      </c>
      <c r="D31" s="78">
        <f t="shared" si="10"/>
        <v>123001590.55</v>
      </c>
      <c r="E31" s="47">
        <f t="shared" si="10"/>
        <v>119797323.41999999</v>
      </c>
      <c r="F31" s="83">
        <f t="shared" si="10"/>
        <v>0</v>
      </c>
      <c r="G31" s="64">
        <f t="shared" si="10"/>
        <v>0</v>
      </c>
      <c r="H31" s="64">
        <f t="shared" si="10"/>
        <v>0</v>
      </c>
      <c r="I31" s="64">
        <f t="shared" si="10"/>
        <v>0</v>
      </c>
      <c r="J31" s="64">
        <f t="shared" si="10"/>
        <v>0</v>
      </c>
      <c r="K31" s="64">
        <f t="shared" si="10"/>
        <v>0</v>
      </c>
      <c r="L31" s="64">
        <f t="shared" si="10"/>
        <v>119797323.41999999</v>
      </c>
      <c r="M31" s="64">
        <f t="shared" si="10"/>
        <v>0</v>
      </c>
      <c r="N31" s="64">
        <f t="shared" si="10"/>
        <v>0</v>
      </c>
      <c r="O31" s="64">
        <f t="shared" si="10"/>
        <v>0</v>
      </c>
      <c r="P31" s="64">
        <f t="shared" ref="P31:Q31" si="11">P25+P28</f>
        <v>0</v>
      </c>
      <c r="Q31" s="70">
        <f t="shared" si="11"/>
        <v>0</v>
      </c>
      <c r="R31" s="20" t="b">
        <f t="shared" si="0"/>
        <v>1</v>
      </c>
      <c r="S31" s="40" t="b">
        <f t="shared" si="1"/>
        <v>1</v>
      </c>
      <c r="T31" s="29"/>
      <c r="U31" s="29"/>
      <c r="V31" s="2"/>
      <c r="W31" s="2"/>
    </row>
    <row r="32" spans="1:26" ht="39.950000000000003" customHeight="1" thickBot="1" x14ac:dyDescent="0.3">
      <c r="A32" s="104" t="s">
        <v>39</v>
      </c>
      <c r="B32" s="105">
        <f t="shared" ref="B32:O32" si="12">B26+B29</f>
        <v>28</v>
      </c>
      <c r="C32" s="106">
        <f t="shared" si="12"/>
        <v>220423623.34999999</v>
      </c>
      <c r="D32" s="107">
        <f t="shared" si="12"/>
        <v>111302937.25999999</v>
      </c>
      <c r="E32" s="108">
        <f t="shared" si="12"/>
        <v>109120686.09</v>
      </c>
      <c r="F32" s="109">
        <f t="shared" si="12"/>
        <v>0</v>
      </c>
      <c r="G32" s="106">
        <f t="shared" si="12"/>
        <v>0</v>
      </c>
      <c r="H32" s="106">
        <f t="shared" si="12"/>
        <v>0</v>
      </c>
      <c r="I32" s="106">
        <f t="shared" si="12"/>
        <v>0</v>
      </c>
      <c r="J32" s="106">
        <f t="shared" si="12"/>
        <v>0</v>
      </c>
      <c r="K32" s="106">
        <f t="shared" si="12"/>
        <v>0</v>
      </c>
      <c r="L32" s="106">
        <f t="shared" si="12"/>
        <v>31061939.440000001</v>
      </c>
      <c r="M32" s="106">
        <f t="shared" si="12"/>
        <v>35569388.350000001</v>
      </c>
      <c r="N32" s="106">
        <f t="shared" si="12"/>
        <v>42489358.299999997</v>
      </c>
      <c r="O32" s="106">
        <f t="shared" si="12"/>
        <v>0</v>
      </c>
      <c r="P32" s="106">
        <f t="shared" ref="P32:Q32" si="13">P26+P29</f>
        <v>0</v>
      </c>
      <c r="Q32" s="110">
        <f t="shared" si="13"/>
        <v>0</v>
      </c>
      <c r="R32" s="20" t="b">
        <f t="shared" si="0"/>
        <v>1</v>
      </c>
      <c r="S32" s="40" t="b">
        <f t="shared" si="1"/>
        <v>1</v>
      </c>
      <c r="T32" s="29"/>
      <c r="U32" s="29"/>
      <c r="V32" s="2"/>
      <c r="W32" s="2"/>
    </row>
    <row r="33" spans="1:23" ht="39.950000000000003" customHeight="1" thickTop="1" x14ac:dyDescent="0.25">
      <c r="A33" s="315" t="s">
        <v>33</v>
      </c>
      <c r="B33" s="111">
        <f>B20+B30</f>
        <v>236</v>
      </c>
      <c r="C33" s="112">
        <f t="shared" ref="C33:O33" si="14">C20+C30</f>
        <v>1314532728.0899999</v>
      </c>
      <c r="D33" s="113">
        <f t="shared" si="14"/>
        <v>675367012.42599988</v>
      </c>
      <c r="E33" s="114">
        <f t="shared" si="14"/>
        <v>639165715.66400003</v>
      </c>
      <c r="F33" s="115">
        <f t="shared" si="14"/>
        <v>0</v>
      </c>
      <c r="G33" s="112">
        <f t="shared" si="14"/>
        <v>0</v>
      </c>
      <c r="H33" s="112">
        <f t="shared" si="14"/>
        <v>0</v>
      </c>
      <c r="I33" s="112">
        <f t="shared" si="14"/>
        <v>94647.56</v>
      </c>
      <c r="J33" s="112">
        <f t="shared" si="14"/>
        <v>4177543.3299999996</v>
      </c>
      <c r="K33" s="112">
        <f t="shared" si="14"/>
        <v>95028930.909999996</v>
      </c>
      <c r="L33" s="112">
        <f t="shared" si="14"/>
        <v>353163877.93400002</v>
      </c>
      <c r="M33" s="112">
        <f t="shared" si="14"/>
        <v>109624663.41999999</v>
      </c>
      <c r="N33" s="112">
        <f t="shared" si="14"/>
        <v>73982541.50999999</v>
      </c>
      <c r="O33" s="112">
        <f t="shared" si="14"/>
        <v>3093511</v>
      </c>
      <c r="P33" s="112">
        <f t="shared" ref="P33:Q33" si="15">P20+P30</f>
        <v>0</v>
      </c>
      <c r="Q33" s="316">
        <f t="shared" si="15"/>
        <v>0</v>
      </c>
      <c r="R33" s="20" t="b">
        <f t="shared" si="0"/>
        <v>1</v>
      </c>
      <c r="S33" s="40" t="b">
        <f t="shared" si="1"/>
        <v>1</v>
      </c>
      <c r="T33" s="29"/>
      <c r="U33" s="29"/>
      <c r="V33" s="2"/>
      <c r="W33" s="2"/>
    </row>
    <row r="34" spans="1:23" ht="39.950000000000003" customHeight="1" x14ac:dyDescent="0.25">
      <c r="A34" s="317" t="s">
        <v>37</v>
      </c>
      <c r="B34" s="130">
        <f>B21</f>
        <v>70</v>
      </c>
      <c r="C34" s="131">
        <f t="shared" ref="C34:O34" si="16">C21</f>
        <v>484815438.62</v>
      </c>
      <c r="D34" s="132">
        <f t="shared" si="16"/>
        <v>250515077.176</v>
      </c>
      <c r="E34" s="48">
        <f t="shared" si="16"/>
        <v>234300361.44399998</v>
      </c>
      <c r="F34" s="133">
        <f t="shared" si="16"/>
        <v>0</v>
      </c>
      <c r="G34" s="131">
        <f t="shared" si="16"/>
        <v>0</v>
      </c>
      <c r="H34" s="131">
        <f t="shared" si="16"/>
        <v>0</v>
      </c>
      <c r="I34" s="131">
        <f t="shared" si="16"/>
        <v>94647.56</v>
      </c>
      <c r="J34" s="131">
        <f t="shared" si="16"/>
        <v>4177543.3299999996</v>
      </c>
      <c r="K34" s="131">
        <f t="shared" si="16"/>
        <v>95028930.909999996</v>
      </c>
      <c r="L34" s="131">
        <f t="shared" si="16"/>
        <v>81647512.143999994</v>
      </c>
      <c r="M34" s="131">
        <f t="shared" si="16"/>
        <v>53351727.5</v>
      </c>
      <c r="N34" s="131">
        <f t="shared" si="16"/>
        <v>0</v>
      </c>
      <c r="O34" s="131">
        <f t="shared" si="16"/>
        <v>0</v>
      </c>
      <c r="P34" s="131">
        <f t="shared" ref="P34:Q34" si="17">P21</f>
        <v>0</v>
      </c>
      <c r="Q34" s="318">
        <f t="shared" si="17"/>
        <v>0</v>
      </c>
      <c r="R34" s="20" t="b">
        <f t="shared" si="0"/>
        <v>1</v>
      </c>
      <c r="S34" s="40" t="b">
        <f t="shared" si="1"/>
        <v>1</v>
      </c>
      <c r="T34" s="29"/>
      <c r="U34" s="29"/>
      <c r="V34" s="2"/>
      <c r="W34" s="2"/>
    </row>
    <row r="35" spans="1:23" ht="39.950000000000003" customHeight="1" x14ac:dyDescent="0.25">
      <c r="A35" s="319" t="s">
        <v>38</v>
      </c>
      <c r="B35" s="74">
        <f>B22+B31</f>
        <v>118</v>
      </c>
      <c r="C35" s="65">
        <f t="shared" ref="C35:O35" si="18">C22+C31</f>
        <v>446096331.76999998</v>
      </c>
      <c r="D35" s="79">
        <f t="shared" si="18"/>
        <v>225217684.72000003</v>
      </c>
      <c r="E35" s="85">
        <f t="shared" si="18"/>
        <v>220878647.04999998</v>
      </c>
      <c r="F35" s="84">
        <f t="shared" si="18"/>
        <v>0</v>
      </c>
      <c r="G35" s="65">
        <f t="shared" si="18"/>
        <v>0</v>
      </c>
      <c r="H35" s="65">
        <f t="shared" si="18"/>
        <v>0</v>
      </c>
      <c r="I35" s="65">
        <f t="shared" si="18"/>
        <v>0</v>
      </c>
      <c r="J35" s="65">
        <f t="shared" si="18"/>
        <v>0</v>
      </c>
      <c r="K35" s="65">
        <f t="shared" si="18"/>
        <v>0</v>
      </c>
      <c r="L35" s="65">
        <f t="shared" si="18"/>
        <v>220878647.04999998</v>
      </c>
      <c r="M35" s="65">
        <f t="shared" si="18"/>
        <v>0</v>
      </c>
      <c r="N35" s="65">
        <f t="shared" si="18"/>
        <v>0</v>
      </c>
      <c r="O35" s="65">
        <f t="shared" si="18"/>
        <v>0</v>
      </c>
      <c r="P35" s="65">
        <f t="shared" ref="P35:Q35" si="19">P22+P31</f>
        <v>0</v>
      </c>
      <c r="Q35" s="320">
        <f t="shared" si="19"/>
        <v>0</v>
      </c>
      <c r="R35" s="20" t="b">
        <f t="shared" si="0"/>
        <v>1</v>
      </c>
      <c r="S35" s="40" t="b">
        <f t="shared" si="1"/>
        <v>1</v>
      </c>
      <c r="T35" s="29"/>
      <c r="U35" s="29"/>
      <c r="V35" s="2"/>
      <c r="W35" s="2"/>
    </row>
    <row r="36" spans="1:23" ht="39.950000000000003" customHeight="1" thickBot="1" x14ac:dyDescent="0.3">
      <c r="A36" s="321" t="s">
        <v>39</v>
      </c>
      <c r="B36" s="322">
        <f>B23+B32</f>
        <v>48</v>
      </c>
      <c r="C36" s="323">
        <f t="shared" ref="C36:O36" si="20">C23+C32</f>
        <v>383620957.69999999</v>
      </c>
      <c r="D36" s="324">
        <f t="shared" si="20"/>
        <v>199634250.52999997</v>
      </c>
      <c r="E36" s="325">
        <f t="shared" si="20"/>
        <v>183986707.17000002</v>
      </c>
      <c r="F36" s="326">
        <f t="shared" si="20"/>
        <v>0</v>
      </c>
      <c r="G36" s="323">
        <f t="shared" si="20"/>
        <v>0</v>
      </c>
      <c r="H36" s="323">
        <f t="shared" si="20"/>
        <v>0</v>
      </c>
      <c r="I36" s="323">
        <f t="shared" si="20"/>
        <v>0</v>
      </c>
      <c r="J36" s="323">
        <f t="shared" si="20"/>
        <v>0</v>
      </c>
      <c r="K36" s="323">
        <f t="shared" si="20"/>
        <v>0</v>
      </c>
      <c r="L36" s="323">
        <f t="shared" si="20"/>
        <v>50637718.740000002</v>
      </c>
      <c r="M36" s="323">
        <f t="shared" si="20"/>
        <v>56272935.920000002</v>
      </c>
      <c r="N36" s="323">
        <f t="shared" si="20"/>
        <v>73982541.50999999</v>
      </c>
      <c r="O36" s="323">
        <f t="shared" si="20"/>
        <v>3093511</v>
      </c>
      <c r="P36" s="323">
        <f t="shared" ref="P36:Q36" si="21">P23+P32</f>
        <v>0</v>
      </c>
      <c r="Q36" s="327">
        <f t="shared" si="21"/>
        <v>0</v>
      </c>
      <c r="R36" s="20" t="b">
        <f t="shared" si="0"/>
        <v>1</v>
      </c>
      <c r="S36" s="40" t="b">
        <f t="shared" si="1"/>
        <v>1</v>
      </c>
      <c r="T36" s="29"/>
      <c r="U36" s="29"/>
      <c r="V36" s="2"/>
      <c r="W36" s="2"/>
    </row>
    <row r="37" spans="1:23" x14ac:dyDescent="0.25">
      <c r="A37" s="30"/>
      <c r="B37" s="30" t="b">
        <f>B12+B16=B20</f>
        <v>1</v>
      </c>
      <c r="C37" s="30" t="b">
        <f t="shared" ref="C37:Q37" si="22">C12+C16=C20</f>
        <v>1</v>
      </c>
      <c r="D37" s="30" t="b">
        <f t="shared" si="22"/>
        <v>1</v>
      </c>
      <c r="E37" s="30" t="b">
        <f t="shared" si="22"/>
        <v>1</v>
      </c>
      <c r="F37" s="30" t="b">
        <f t="shared" si="22"/>
        <v>1</v>
      </c>
      <c r="G37" s="30" t="b">
        <f t="shared" si="22"/>
        <v>1</v>
      </c>
      <c r="H37" s="30" t="b">
        <f t="shared" si="22"/>
        <v>1</v>
      </c>
      <c r="I37" s="30" t="b">
        <f t="shared" si="22"/>
        <v>1</v>
      </c>
      <c r="J37" s="30" t="b">
        <f t="shared" si="22"/>
        <v>1</v>
      </c>
      <c r="K37" s="30" t="b">
        <f t="shared" si="22"/>
        <v>1</v>
      </c>
      <c r="L37" s="30" t="b">
        <f t="shared" si="22"/>
        <v>1</v>
      </c>
      <c r="M37" s="30" t="b">
        <f t="shared" si="22"/>
        <v>1</v>
      </c>
      <c r="N37" s="30" t="b">
        <f t="shared" si="22"/>
        <v>1</v>
      </c>
      <c r="O37" s="30" t="b">
        <f t="shared" si="22"/>
        <v>1</v>
      </c>
      <c r="P37" s="30" t="b">
        <f t="shared" si="22"/>
        <v>1</v>
      </c>
      <c r="Q37" s="30" t="b">
        <f t="shared" si="22"/>
        <v>1</v>
      </c>
      <c r="R37" s="30"/>
      <c r="S37" s="30"/>
      <c r="T37" s="29"/>
      <c r="U37" s="29"/>
      <c r="V37" s="2"/>
      <c r="W37" s="2"/>
    </row>
    <row r="38" spans="1:23" x14ac:dyDescent="0.25">
      <c r="A38" s="30"/>
      <c r="B38" s="30" t="b">
        <f>B13+B17=B21</f>
        <v>1</v>
      </c>
      <c r="C38" s="30" t="b">
        <f t="shared" ref="C38:Q38" si="23">C13+C17=C21</f>
        <v>1</v>
      </c>
      <c r="D38" s="30" t="b">
        <f t="shared" si="23"/>
        <v>1</v>
      </c>
      <c r="E38" s="30" t="b">
        <f t="shared" si="23"/>
        <v>1</v>
      </c>
      <c r="F38" s="30" t="b">
        <f t="shared" si="23"/>
        <v>1</v>
      </c>
      <c r="G38" s="30" t="b">
        <f t="shared" si="23"/>
        <v>1</v>
      </c>
      <c r="H38" s="30" t="b">
        <f t="shared" si="23"/>
        <v>1</v>
      </c>
      <c r="I38" s="30" t="b">
        <f t="shared" si="23"/>
        <v>1</v>
      </c>
      <c r="J38" s="30" t="b">
        <f t="shared" si="23"/>
        <v>1</v>
      </c>
      <c r="K38" s="30" t="b">
        <f t="shared" si="23"/>
        <v>1</v>
      </c>
      <c r="L38" s="30" t="b">
        <f t="shared" si="23"/>
        <v>1</v>
      </c>
      <c r="M38" s="30" t="b">
        <f t="shared" si="23"/>
        <v>1</v>
      </c>
      <c r="N38" s="30" t="b">
        <f t="shared" si="23"/>
        <v>1</v>
      </c>
      <c r="O38" s="30" t="b">
        <f t="shared" si="23"/>
        <v>1</v>
      </c>
      <c r="P38" s="30" t="b">
        <f t="shared" si="23"/>
        <v>1</v>
      </c>
      <c r="Q38" s="30" t="b">
        <f t="shared" si="23"/>
        <v>1</v>
      </c>
      <c r="R38" s="30"/>
      <c r="S38" s="30"/>
      <c r="T38" s="29"/>
      <c r="U38" s="29"/>
      <c r="V38" s="2"/>
      <c r="W38" s="2"/>
    </row>
    <row r="39" spans="1:23" x14ac:dyDescent="0.25">
      <c r="A39" s="30"/>
      <c r="B39" s="30" t="b">
        <f>B14+B18=B22</f>
        <v>1</v>
      </c>
      <c r="C39" s="30" t="b">
        <f t="shared" ref="C39:Q39" si="24">C14+C18=C22</f>
        <v>1</v>
      </c>
      <c r="D39" s="30" t="b">
        <f t="shared" si="24"/>
        <v>1</v>
      </c>
      <c r="E39" s="30" t="b">
        <f t="shared" si="24"/>
        <v>1</v>
      </c>
      <c r="F39" s="30" t="b">
        <f t="shared" si="24"/>
        <v>1</v>
      </c>
      <c r="G39" s="30" t="b">
        <f t="shared" si="24"/>
        <v>1</v>
      </c>
      <c r="H39" s="30" t="b">
        <f t="shared" si="24"/>
        <v>1</v>
      </c>
      <c r="I39" s="30" t="b">
        <f t="shared" si="24"/>
        <v>1</v>
      </c>
      <c r="J39" s="30" t="b">
        <f t="shared" si="24"/>
        <v>1</v>
      </c>
      <c r="K39" s="30" t="b">
        <f t="shared" si="24"/>
        <v>1</v>
      </c>
      <c r="L39" s="30" t="b">
        <f t="shared" si="24"/>
        <v>1</v>
      </c>
      <c r="M39" s="30" t="b">
        <f t="shared" si="24"/>
        <v>1</v>
      </c>
      <c r="N39" s="30" t="b">
        <f t="shared" si="24"/>
        <v>1</v>
      </c>
      <c r="O39" s="30" t="b">
        <f t="shared" si="24"/>
        <v>1</v>
      </c>
      <c r="P39" s="30" t="b">
        <f t="shared" si="24"/>
        <v>1</v>
      </c>
      <c r="Q39" s="30" t="b">
        <f t="shared" si="24"/>
        <v>1</v>
      </c>
      <c r="R39" s="30"/>
      <c r="S39" s="30"/>
      <c r="T39" s="29"/>
      <c r="U39" s="29"/>
      <c r="V39" s="2"/>
      <c r="W39" s="2"/>
    </row>
    <row r="40" spans="1:23" x14ac:dyDescent="0.25">
      <c r="A40" s="30"/>
      <c r="B40" s="30" t="b">
        <f>B15+B19=B23</f>
        <v>1</v>
      </c>
      <c r="C40" s="30" t="b">
        <f t="shared" ref="C40:Q40" si="25">C15+C19=C23</f>
        <v>1</v>
      </c>
      <c r="D40" s="30" t="b">
        <f t="shared" si="25"/>
        <v>1</v>
      </c>
      <c r="E40" s="30" t="b">
        <f t="shared" si="25"/>
        <v>1</v>
      </c>
      <c r="F40" s="30" t="b">
        <f t="shared" si="25"/>
        <v>1</v>
      </c>
      <c r="G40" s="30" t="b">
        <f t="shared" si="25"/>
        <v>1</v>
      </c>
      <c r="H40" s="30" t="b">
        <f t="shared" si="25"/>
        <v>1</v>
      </c>
      <c r="I40" s="30" t="b">
        <f t="shared" si="25"/>
        <v>1</v>
      </c>
      <c r="J40" s="30" t="b">
        <f t="shared" si="25"/>
        <v>1</v>
      </c>
      <c r="K40" s="30" t="b">
        <f t="shared" si="25"/>
        <v>1</v>
      </c>
      <c r="L40" s="30" t="b">
        <f t="shared" si="25"/>
        <v>1</v>
      </c>
      <c r="M40" s="30" t="b">
        <f t="shared" si="25"/>
        <v>1</v>
      </c>
      <c r="N40" s="30" t="b">
        <f t="shared" si="25"/>
        <v>1</v>
      </c>
      <c r="O40" s="30" t="b">
        <f t="shared" si="25"/>
        <v>1</v>
      </c>
      <c r="P40" s="30" t="b">
        <f t="shared" si="25"/>
        <v>1</v>
      </c>
      <c r="Q40" s="30" t="b">
        <f t="shared" si="25"/>
        <v>1</v>
      </c>
      <c r="R40" s="30"/>
      <c r="S40" s="30"/>
      <c r="T40" s="29"/>
      <c r="U40" s="29"/>
      <c r="V40" s="2"/>
      <c r="W40" s="2"/>
    </row>
    <row r="41" spans="1:23" x14ac:dyDescent="0.25">
      <c r="A41" s="31"/>
      <c r="B41" s="31" t="b">
        <f>B24+B27=B30</f>
        <v>1</v>
      </c>
      <c r="C41" s="31" t="b">
        <f t="shared" ref="C41:Q41" si="26">C24+C27=C30</f>
        <v>1</v>
      </c>
      <c r="D41" s="31" t="b">
        <f t="shared" si="26"/>
        <v>1</v>
      </c>
      <c r="E41" s="31" t="b">
        <f t="shared" si="26"/>
        <v>1</v>
      </c>
      <c r="F41" s="31" t="b">
        <f t="shared" si="26"/>
        <v>1</v>
      </c>
      <c r="G41" s="31" t="b">
        <f t="shared" si="26"/>
        <v>1</v>
      </c>
      <c r="H41" s="31" t="b">
        <f t="shared" si="26"/>
        <v>1</v>
      </c>
      <c r="I41" s="31" t="b">
        <f t="shared" si="26"/>
        <v>1</v>
      </c>
      <c r="J41" s="31" t="b">
        <f t="shared" si="26"/>
        <v>1</v>
      </c>
      <c r="K41" s="31" t="b">
        <f t="shared" si="26"/>
        <v>1</v>
      </c>
      <c r="L41" s="31" t="b">
        <f t="shared" si="26"/>
        <v>1</v>
      </c>
      <c r="M41" s="31" t="b">
        <f t="shared" si="26"/>
        <v>1</v>
      </c>
      <c r="N41" s="31" t="b">
        <f t="shared" si="26"/>
        <v>1</v>
      </c>
      <c r="O41" s="31" t="b">
        <f t="shared" si="26"/>
        <v>1</v>
      </c>
      <c r="P41" s="31" t="b">
        <f t="shared" si="26"/>
        <v>1</v>
      </c>
      <c r="Q41" s="31" t="b">
        <f t="shared" si="26"/>
        <v>1</v>
      </c>
      <c r="R41" s="31"/>
      <c r="S41" s="31"/>
      <c r="T41" s="2"/>
      <c r="U41" s="2"/>
      <c r="V41" s="2"/>
      <c r="W41" s="2"/>
    </row>
    <row r="42" spans="1:23" x14ac:dyDescent="0.25">
      <c r="A42" s="31"/>
      <c r="B42" s="31" t="b">
        <f>B28+B25=B31</f>
        <v>1</v>
      </c>
      <c r="C42" s="31" t="b">
        <f t="shared" ref="C42:Q42" si="27">C28+C25=C31</f>
        <v>1</v>
      </c>
      <c r="D42" s="31" t="b">
        <f t="shared" si="27"/>
        <v>1</v>
      </c>
      <c r="E42" s="31" t="b">
        <f t="shared" si="27"/>
        <v>1</v>
      </c>
      <c r="F42" s="31" t="b">
        <f t="shared" si="27"/>
        <v>1</v>
      </c>
      <c r="G42" s="31" t="b">
        <f t="shared" si="27"/>
        <v>1</v>
      </c>
      <c r="H42" s="31" t="b">
        <f t="shared" si="27"/>
        <v>1</v>
      </c>
      <c r="I42" s="31" t="b">
        <f t="shared" si="27"/>
        <v>1</v>
      </c>
      <c r="J42" s="31" t="b">
        <f t="shared" si="27"/>
        <v>1</v>
      </c>
      <c r="K42" s="31" t="b">
        <f t="shared" si="27"/>
        <v>1</v>
      </c>
      <c r="L42" s="31" t="b">
        <f>L28+L25=L31</f>
        <v>1</v>
      </c>
      <c r="M42" s="31" t="b">
        <f t="shared" si="27"/>
        <v>1</v>
      </c>
      <c r="N42" s="31" t="b">
        <f t="shared" si="27"/>
        <v>1</v>
      </c>
      <c r="O42" s="31" t="b">
        <f t="shared" si="27"/>
        <v>1</v>
      </c>
      <c r="P42" s="31" t="b">
        <f t="shared" si="27"/>
        <v>1</v>
      </c>
      <c r="Q42" s="31" t="b">
        <f t="shared" si="27"/>
        <v>1</v>
      </c>
      <c r="R42" s="31"/>
      <c r="S42" s="31"/>
      <c r="T42" s="2"/>
      <c r="U42" s="2"/>
      <c r="V42" s="2"/>
      <c r="W42" s="2"/>
    </row>
    <row r="43" spans="1:23" x14ac:dyDescent="0.25">
      <c r="A43" s="31"/>
      <c r="B43" s="31" t="b">
        <f>B26+B29=B32</f>
        <v>1</v>
      </c>
      <c r="C43" s="31" t="b">
        <f t="shared" ref="C43:Q43" si="28">C26+C29=C32</f>
        <v>1</v>
      </c>
      <c r="D43" s="31" t="b">
        <f t="shared" si="28"/>
        <v>1</v>
      </c>
      <c r="E43" s="31" t="b">
        <f t="shared" si="28"/>
        <v>1</v>
      </c>
      <c r="F43" s="31" t="b">
        <f t="shared" si="28"/>
        <v>1</v>
      </c>
      <c r="G43" s="31" t="b">
        <f t="shared" si="28"/>
        <v>1</v>
      </c>
      <c r="H43" s="31" t="b">
        <f t="shared" si="28"/>
        <v>1</v>
      </c>
      <c r="I43" s="31" t="b">
        <f t="shared" si="28"/>
        <v>1</v>
      </c>
      <c r="J43" s="31" t="b">
        <f t="shared" si="28"/>
        <v>1</v>
      </c>
      <c r="K43" s="31" t="b">
        <f t="shared" si="28"/>
        <v>1</v>
      </c>
      <c r="L43" s="31" t="b">
        <f t="shared" si="28"/>
        <v>1</v>
      </c>
      <c r="M43" s="31" t="b">
        <f t="shared" si="28"/>
        <v>1</v>
      </c>
      <c r="N43" s="31" t="b">
        <f t="shared" si="28"/>
        <v>1</v>
      </c>
      <c r="O43" s="31" t="b">
        <f t="shared" si="28"/>
        <v>1</v>
      </c>
      <c r="P43" s="31" t="b">
        <f t="shared" si="28"/>
        <v>1</v>
      </c>
      <c r="Q43" s="31" t="b">
        <f t="shared" si="28"/>
        <v>1</v>
      </c>
      <c r="R43" s="31"/>
      <c r="S43" s="31"/>
      <c r="T43" s="2"/>
      <c r="U43" s="2"/>
      <c r="V43" s="2"/>
      <c r="W43" s="2"/>
    </row>
    <row r="44" spans="1:23" x14ac:dyDescent="0.25">
      <c r="B44" s="14" t="b">
        <f>B20+B30=B33</f>
        <v>1</v>
      </c>
      <c r="C44" s="14" t="b">
        <f t="shared" ref="C44:Q44" si="29">C20+C30=C33</f>
        <v>1</v>
      </c>
      <c r="D44" s="14" t="b">
        <f t="shared" si="29"/>
        <v>1</v>
      </c>
      <c r="E44" s="14" t="b">
        <f t="shared" si="29"/>
        <v>1</v>
      </c>
      <c r="F44" s="14" t="b">
        <f t="shared" si="29"/>
        <v>1</v>
      </c>
      <c r="G44" s="14" t="b">
        <f t="shared" si="29"/>
        <v>1</v>
      </c>
      <c r="H44" s="14" t="b">
        <f t="shared" si="29"/>
        <v>1</v>
      </c>
      <c r="I44" s="14" t="b">
        <f t="shared" si="29"/>
        <v>1</v>
      </c>
      <c r="J44" s="14" t="b">
        <f t="shared" si="29"/>
        <v>1</v>
      </c>
      <c r="K44" s="14" t="b">
        <f t="shared" si="29"/>
        <v>1</v>
      </c>
      <c r="L44" s="14" t="b">
        <f t="shared" si="29"/>
        <v>1</v>
      </c>
      <c r="M44" s="14" t="b">
        <f t="shared" si="29"/>
        <v>1</v>
      </c>
      <c r="N44" s="14" t="b">
        <f t="shared" si="29"/>
        <v>1</v>
      </c>
      <c r="O44" s="14" t="b">
        <f t="shared" si="29"/>
        <v>1</v>
      </c>
      <c r="P44" s="14" t="b">
        <f t="shared" si="29"/>
        <v>1</v>
      </c>
      <c r="Q44" s="14" t="b">
        <f t="shared" si="29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&amp;L&amp;K000000Województwo podlaskie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showGridLines="0" view="pageBreakPreview" topLeftCell="A55" zoomScale="85" zoomScaleNormal="78" zoomScaleSheetLayoutView="85" workbookViewId="0">
      <selection activeCell="L51" sqref="L51"/>
    </sheetView>
  </sheetViews>
  <sheetFormatPr defaultColWidth="9.140625" defaultRowHeight="15" x14ac:dyDescent="0.25"/>
  <cols>
    <col min="1" max="2" width="7.28515625" style="3" customWidth="1"/>
    <col min="3" max="3" width="17.28515625" style="1" customWidth="1"/>
    <col min="4" max="4" width="20.85546875" style="3" customWidth="1"/>
    <col min="5" max="5" width="15.85546875" style="3" customWidth="1"/>
    <col min="6" max="6" width="65.7109375" style="3" customWidth="1"/>
    <col min="7" max="7" width="9.42578125" style="3" customWidth="1"/>
    <col min="8" max="8" width="13.28515625" style="3" customWidth="1"/>
    <col min="9" max="9" width="13.7109375" style="3" customWidth="1"/>
    <col min="10" max="10" width="15.85546875" style="4" customWidth="1"/>
    <col min="11" max="12" width="15.85546875" style="3" customWidth="1"/>
    <col min="13" max="13" width="15.28515625" style="1" bestFit="1" customWidth="1"/>
    <col min="14" max="18" width="15.5703125" style="3" customWidth="1"/>
    <col min="19" max="25" width="15.7109375" style="3" customWidth="1"/>
    <col min="26" max="26" width="15.7109375" style="41" customWidth="1"/>
    <col min="27" max="28" width="15.7109375" style="1" customWidth="1"/>
    <col min="29" max="29" width="15.7109375" style="41" customWidth="1"/>
    <col min="30" max="16384" width="9.140625" style="3"/>
  </cols>
  <sheetData>
    <row r="1" spans="1:35" ht="31.5" customHeight="1" x14ac:dyDescent="0.25">
      <c r="A1" s="348" t="s">
        <v>4</v>
      </c>
      <c r="B1" s="348" t="s">
        <v>5</v>
      </c>
      <c r="C1" s="356" t="s">
        <v>43</v>
      </c>
      <c r="D1" s="352" t="s">
        <v>6</v>
      </c>
      <c r="E1" s="352" t="s">
        <v>32</v>
      </c>
      <c r="F1" s="352" t="s">
        <v>7</v>
      </c>
      <c r="G1" s="348" t="s">
        <v>26</v>
      </c>
      <c r="H1" s="348" t="s">
        <v>8</v>
      </c>
      <c r="I1" s="348" t="s">
        <v>23</v>
      </c>
      <c r="J1" s="349" t="s">
        <v>9</v>
      </c>
      <c r="K1" s="348" t="s">
        <v>16</v>
      </c>
      <c r="L1" s="352" t="s">
        <v>13</v>
      </c>
      <c r="M1" s="348" t="s">
        <v>11</v>
      </c>
      <c r="N1" s="350" t="s">
        <v>12</v>
      </c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1"/>
    </row>
    <row r="2" spans="1:35" ht="31.5" customHeight="1" x14ac:dyDescent="0.25">
      <c r="A2" s="348"/>
      <c r="B2" s="348"/>
      <c r="C2" s="357"/>
      <c r="D2" s="353"/>
      <c r="E2" s="353"/>
      <c r="F2" s="353"/>
      <c r="G2" s="348"/>
      <c r="H2" s="348"/>
      <c r="I2" s="348"/>
      <c r="J2" s="349"/>
      <c r="K2" s="348"/>
      <c r="L2" s="353"/>
      <c r="M2" s="348"/>
      <c r="N2" s="37">
        <v>2019</v>
      </c>
      <c r="O2" s="37">
        <v>2020</v>
      </c>
      <c r="P2" s="37">
        <v>2021</v>
      </c>
      <c r="Q2" s="37">
        <v>2022</v>
      </c>
      <c r="R2" s="37">
        <v>2023</v>
      </c>
      <c r="S2" s="37">
        <v>2024</v>
      </c>
      <c r="T2" s="37">
        <v>2025</v>
      </c>
      <c r="U2" s="37">
        <v>2026</v>
      </c>
      <c r="V2" s="37">
        <v>2027</v>
      </c>
      <c r="W2" s="37">
        <v>2028</v>
      </c>
      <c r="X2" s="134">
        <v>2029</v>
      </c>
      <c r="Y2" s="134">
        <v>2030</v>
      </c>
      <c r="Z2" s="1" t="s">
        <v>28</v>
      </c>
      <c r="AA2" s="1" t="s">
        <v>29</v>
      </c>
      <c r="AB2" s="1" t="s">
        <v>30</v>
      </c>
      <c r="AC2" s="42" t="s">
        <v>31</v>
      </c>
    </row>
    <row r="3" spans="1:35" ht="36.75" customHeight="1" x14ac:dyDescent="0.25">
      <c r="A3" s="144">
        <v>1</v>
      </c>
      <c r="B3" s="144">
        <v>349</v>
      </c>
      <c r="C3" s="144" t="s">
        <v>79</v>
      </c>
      <c r="D3" s="144" t="s">
        <v>80</v>
      </c>
      <c r="E3" s="145" t="s">
        <v>81</v>
      </c>
      <c r="F3" s="146" t="s">
        <v>82</v>
      </c>
      <c r="G3" s="147" t="s">
        <v>83</v>
      </c>
      <c r="H3" s="148">
        <v>6.43</v>
      </c>
      <c r="I3" s="149" t="s">
        <v>84</v>
      </c>
      <c r="J3" s="57">
        <v>8883745.75</v>
      </c>
      <c r="K3" s="151">
        <v>3785902.22</v>
      </c>
      <c r="L3" s="57">
        <f t="shared" ref="L3:L23" si="0">J3-K3</f>
        <v>5097843.5299999993</v>
      </c>
      <c r="M3" s="152">
        <f t="shared" ref="M3" si="1">ROUND(K3/J3,4)</f>
        <v>0.42620000000000002</v>
      </c>
      <c r="N3" s="232">
        <v>0</v>
      </c>
      <c r="O3" s="232">
        <v>0</v>
      </c>
      <c r="P3" s="233">
        <v>0</v>
      </c>
      <c r="Q3" s="233">
        <v>94647.56</v>
      </c>
      <c r="R3" s="233">
        <v>1673368.78</v>
      </c>
      <c r="S3" s="233">
        <v>2017885.88</v>
      </c>
      <c r="T3" s="233">
        <v>0</v>
      </c>
      <c r="U3" s="233">
        <v>0</v>
      </c>
      <c r="V3" s="233">
        <v>0</v>
      </c>
      <c r="W3" s="233">
        <v>0</v>
      </c>
      <c r="X3" s="233">
        <v>0</v>
      </c>
      <c r="Y3" s="233">
        <v>0</v>
      </c>
      <c r="Z3" s="1" t="b">
        <f>K3=SUM(N3:Y3)</f>
        <v>1</v>
      </c>
      <c r="AA3" s="43">
        <f t="shared" ref="AA3:AA60" si="2">ROUND(K3/J3,4)</f>
        <v>0.42620000000000002</v>
      </c>
      <c r="AB3" s="44" t="b">
        <f t="shared" ref="AB3:AB60" si="3">AA3=M3</f>
        <v>1</v>
      </c>
      <c r="AC3" s="44" t="b">
        <f>J3=K3+L3</f>
        <v>1</v>
      </c>
    </row>
    <row r="4" spans="1:35" ht="36.75" customHeight="1" x14ac:dyDescent="0.25">
      <c r="A4" s="144">
        <v>2</v>
      </c>
      <c r="B4" s="144">
        <v>107</v>
      </c>
      <c r="C4" s="144" t="s">
        <v>79</v>
      </c>
      <c r="D4" s="144" t="s">
        <v>89</v>
      </c>
      <c r="E4" s="158">
        <v>2007000</v>
      </c>
      <c r="F4" s="146" t="s">
        <v>90</v>
      </c>
      <c r="G4" s="147" t="s">
        <v>83</v>
      </c>
      <c r="H4" s="148">
        <v>1.42</v>
      </c>
      <c r="I4" s="149" t="s">
        <v>91</v>
      </c>
      <c r="J4" s="57">
        <v>9640005.5899999999</v>
      </c>
      <c r="K4" s="151">
        <v>2807402.59</v>
      </c>
      <c r="L4" s="57">
        <f t="shared" si="0"/>
        <v>6832603</v>
      </c>
      <c r="M4" s="159">
        <f>ROUND(K4/J4,4)</f>
        <v>0.29120000000000001</v>
      </c>
      <c r="N4" s="153">
        <v>0</v>
      </c>
      <c r="O4" s="153">
        <v>0</v>
      </c>
      <c r="P4" s="264">
        <v>0</v>
      </c>
      <c r="Q4" s="154">
        <v>0</v>
      </c>
      <c r="R4" s="153">
        <v>2130000</v>
      </c>
      <c r="S4" s="153">
        <v>677402.59</v>
      </c>
      <c r="T4" s="154">
        <v>0</v>
      </c>
      <c r="U4" s="154">
        <v>0</v>
      </c>
      <c r="V4" s="154">
        <v>0</v>
      </c>
      <c r="W4" s="154">
        <v>0</v>
      </c>
      <c r="X4" s="154">
        <v>0</v>
      </c>
      <c r="Y4" s="154">
        <v>0</v>
      </c>
      <c r="Z4" s="1" t="b">
        <f t="shared" ref="Z4:Z60" si="4">K4=SUM(N4:Y4)</f>
        <v>1</v>
      </c>
      <c r="AA4" s="43">
        <f t="shared" si="2"/>
        <v>0.29120000000000001</v>
      </c>
      <c r="AB4" s="44" t="b">
        <f t="shared" si="3"/>
        <v>1</v>
      </c>
      <c r="AC4" s="44" t="b">
        <f t="shared" ref="AC4:AC60" si="5">J4=K4+L4</f>
        <v>1</v>
      </c>
    </row>
    <row r="5" spans="1:35" ht="36.75" customHeight="1" x14ac:dyDescent="0.25">
      <c r="A5" s="144">
        <v>3</v>
      </c>
      <c r="B5" s="144">
        <v>153</v>
      </c>
      <c r="C5" s="144" t="s">
        <v>79</v>
      </c>
      <c r="D5" s="144" t="s">
        <v>92</v>
      </c>
      <c r="E5" s="158">
        <v>2004000</v>
      </c>
      <c r="F5" s="146" t="s">
        <v>93</v>
      </c>
      <c r="G5" s="147" t="s">
        <v>85</v>
      </c>
      <c r="H5" s="148">
        <v>1.7110000000000001</v>
      </c>
      <c r="I5" s="149" t="s">
        <v>94</v>
      </c>
      <c r="J5" s="150">
        <v>4625760.42</v>
      </c>
      <c r="K5" s="151">
        <f>ROUNDDOWN(J5*M5,2)</f>
        <v>2775456.25</v>
      </c>
      <c r="L5" s="57">
        <f t="shared" si="0"/>
        <v>1850304.17</v>
      </c>
      <c r="M5" s="152">
        <v>0.6</v>
      </c>
      <c r="N5" s="153">
        <v>0</v>
      </c>
      <c r="O5" s="153">
        <v>0</v>
      </c>
      <c r="P5" s="264">
        <v>0</v>
      </c>
      <c r="Q5" s="154">
        <v>0</v>
      </c>
      <c r="R5" s="153">
        <v>1180.8</v>
      </c>
      <c r="S5" s="153">
        <f>1750000*M5</f>
        <v>1050000</v>
      </c>
      <c r="T5" s="153">
        <v>1724275.45</v>
      </c>
      <c r="U5" s="154">
        <v>0</v>
      </c>
      <c r="V5" s="154">
        <v>0</v>
      </c>
      <c r="W5" s="154">
        <v>0</v>
      </c>
      <c r="X5" s="154">
        <v>0</v>
      </c>
      <c r="Y5" s="154">
        <v>0</v>
      </c>
      <c r="Z5" s="1" t="b">
        <f t="shared" si="4"/>
        <v>1</v>
      </c>
      <c r="AA5" s="43">
        <f t="shared" si="2"/>
        <v>0.6</v>
      </c>
      <c r="AB5" s="44" t="b">
        <f t="shared" si="3"/>
        <v>1</v>
      </c>
      <c r="AC5" s="44" t="b">
        <f t="shared" si="5"/>
        <v>1</v>
      </c>
    </row>
    <row r="6" spans="1:35" ht="36.75" customHeight="1" x14ac:dyDescent="0.25">
      <c r="A6" s="144">
        <v>4</v>
      </c>
      <c r="B6" s="144">
        <v>182</v>
      </c>
      <c r="C6" s="144" t="s">
        <v>79</v>
      </c>
      <c r="D6" s="144" t="s">
        <v>80</v>
      </c>
      <c r="E6" s="158">
        <v>2011000</v>
      </c>
      <c r="F6" s="146" t="s">
        <v>95</v>
      </c>
      <c r="G6" s="147" t="s">
        <v>85</v>
      </c>
      <c r="H6" s="148">
        <v>1.1299999999999999</v>
      </c>
      <c r="I6" s="149" t="s">
        <v>91</v>
      </c>
      <c r="J6" s="57">
        <v>10001000</v>
      </c>
      <c r="K6" s="151">
        <v>6000000</v>
      </c>
      <c r="L6" s="57">
        <f t="shared" si="0"/>
        <v>4001000</v>
      </c>
      <c r="M6" s="152">
        <f>ROUND(K6/J6,4)</f>
        <v>0.59989999999999999</v>
      </c>
      <c r="N6" s="153">
        <v>0</v>
      </c>
      <c r="O6" s="153">
        <v>0</v>
      </c>
      <c r="P6" s="264">
        <v>0</v>
      </c>
      <c r="Q6" s="154">
        <v>0</v>
      </c>
      <c r="R6" s="153">
        <v>12000</v>
      </c>
      <c r="S6" s="153">
        <v>3600000</v>
      </c>
      <c r="T6" s="153">
        <v>2388000</v>
      </c>
      <c r="U6" s="154">
        <v>0</v>
      </c>
      <c r="V6" s="154">
        <v>0</v>
      </c>
      <c r="W6" s="154">
        <v>0</v>
      </c>
      <c r="X6" s="154">
        <v>0</v>
      </c>
      <c r="Y6" s="154">
        <v>0</v>
      </c>
      <c r="Z6" s="1" t="b">
        <f t="shared" si="4"/>
        <v>1</v>
      </c>
      <c r="AA6" s="43">
        <f t="shared" si="2"/>
        <v>0.59989999999999999</v>
      </c>
      <c r="AB6" s="44" t="b">
        <f t="shared" si="3"/>
        <v>1</v>
      </c>
      <c r="AC6" s="44" t="b">
        <f t="shared" si="5"/>
        <v>1</v>
      </c>
    </row>
    <row r="7" spans="1:35" ht="36.75" customHeight="1" x14ac:dyDescent="0.25">
      <c r="A7" s="144">
        <v>5</v>
      </c>
      <c r="B7" s="144">
        <v>150</v>
      </c>
      <c r="C7" s="144" t="s">
        <v>79</v>
      </c>
      <c r="D7" s="144" t="s">
        <v>92</v>
      </c>
      <c r="E7" s="158">
        <v>2004000</v>
      </c>
      <c r="F7" s="146" t="s">
        <v>96</v>
      </c>
      <c r="G7" s="147" t="s">
        <v>85</v>
      </c>
      <c r="H7" s="148">
        <v>4.9260000000000002</v>
      </c>
      <c r="I7" s="149" t="s">
        <v>97</v>
      </c>
      <c r="J7" s="57">
        <v>11465463.9</v>
      </c>
      <c r="K7" s="151">
        <f>ROUNDDOWN(J7*M7,2)</f>
        <v>6879278.3399999999</v>
      </c>
      <c r="L7" s="57">
        <f t="shared" si="0"/>
        <v>4586185.5600000005</v>
      </c>
      <c r="M7" s="152">
        <v>0.6</v>
      </c>
      <c r="N7" s="153">
        <v>0</v>
      </c>
      <c r="O7" s="153">
        <v>0</v>
      </c>
      <c r="P7" s="264">
        <v>0</v>
      </c>
      <c r="Q7" s="154">
        <v>0</v>
      </c>
      <c r="R7" s="153">
        <v>1180.8</v>
      </c>
      <c r="S7" s="153">
        <v>2185097.61</v>
      </c>
      <c r="T7" s="153">
        <v>4692999.93</v>
      </c>
      <c r="U7" s="154">
        <v>0</v>
      </c>
      <c r="V7" s="154">
        <v>0</v>
      </c>
      <c r="W7" s="154">
        <v>0</v>
      </c>
      <c r="X7" s="154">
        <v>0</v>
      </c>
      <c r="Y7" s="154">
        <v>0</v>
      </c>
      <c r="Z7" s="1" t="b">
        <f t="shared" si="4"/>
        <v>1</v>
      </c>
      <c r="AA7" s="43">
        <f t="shared" si="2"/>
        <v>0.6</v>
      </c>
      <c r="AB7" s="44" t="b">
        <f t="shared" si="3"/>
        <v>1</v>
      </c>
      <c r="AC7" s="44" t="b">
        <f t="shared" si="5"/>
        <v>1</v>
      </c>
    </row>
    <row r="8" spans="1:35" ht="36.75" customHeight="1" x14ac:dyDescent="0.25">
      <c r="A8" s="144">
        <v>6</v>
      </c>
      <c r="B8" s="144">
        <v>183</v>
      </c>
      <c r="C8" s="144" t="s">
        <v>79</v>
      </c>
      <c r="D8" s="144" t="s">
        <v>86</v>
      </c>
      <c r="E8" s="158">
        <v>2011000</v>
      </c>
      <c r="F8" s="146" t="s">
        <v>98</v>
      </c>
      <c r="G8" s="147" t="s">
        <v>85</v>
      </c>
      <c r="H8" s="148">
        <v>1.1000000000000001</v>
      </c>
      <c r="I8" s="149" t="s">
        <v>99</v>
      </c>
      <c r="J8" s="57">
        <v>1594819.5</v>
      </c>
      <c r="K8" s="151">
        <v>956891.69</v>
      </c>
      <c r="L8" s="57">
        <f t="shared" si="0"/>
        <v>637927.81000000006</v>
      </c>
      <c r="M8" s="152">
        <v>0.6</v>
      </c>
      <c r="N8" s="153">
        <v>0</v>
      </c>
      <c r="O8" s="153">
        <v>0</v>
      </c>
      <c r="P8" s="264">
        <v>0</v>
      </c>
      <c r="Q8" s="154">
        <v>0</v>
      </c>
      <c r="R8" s="153">
        <v>41270.74</v>
      </c>
      <c r="S8" s="153">
        <v>707498.48</v>
      </c>
      <c r="T8" s="153">
        <v>208122.47</v>
      </c>
      <c r="U8" s="216"/>
      <c r="V8" s="154">
        <v>0</v>
      </c>
      <c r="W8" s="154">
        <v>0</v>
      </c>
      <c r="X8" s="154">
        <v>0</v>
      </c>
      <c r="Y8" s="154">
        <v>0</v>
      </c>
      <c r="Z8" s="1" t="b">
        <f t="shared" si="4"/>
        <v>1</v>
      </c>
      <c r="AA8" s="43">
        <f t="shared" si="2"/>
        <v>0.6</v>
      </c>
      <c r="AB8" s="44" t="b">
        <f t="shared" si="3"/>
        <v>1</v>
      </c>
      <c r="AC8" s="44" t="b">
        <f t="shared" si="5"/>
        <v>1</v>
      </c>
    </row>
    <row r="9" spans="1:35" ht="36.75" customHeight="1" x14ac:dyDescent="0.25">
      <c r="A9" s="144">
        <v>7</v>
      </c>
      <c r="B9" s="144">
        <v>151</v>
      </c>
      <c r="C9" s="144" t="s">
        <v>79</v>
      </c>
      <c r="D9" s="144" t="s">
        <v>92</v>
      </c>
      <c r="E9" s="158">
        <v>2004000</v>
      </c>
      <c r="F9" s="146" t="s">
        <v>100</v>
      </c>
      <c r="G9" s="147" t="s">
        <v>85</v>
      </c>
      <c r="H9" s="148">
        <v>6.7880000000000003</v>
      </c>
      <c r="I9" s="149" t="s">
        <v>101</v>
      </c>
      <c r="J9" s="57">
        <v>16637520.460000001</v>
      </c>
      <c r="K9" s="151">
        <f t="shared" ref="K9:K16" si="6">ROUNDDOWN(J9*M9,2)</f>
        <v>9982512.2699999996</v>
      </c>
      <c r="L9" s="57">
        <f t="shared" si="0"/>
        <v>6655008.1900000013</v>
      </c>
      <c r="M9" s="152">
        <v>0.6</v>
      </c>
      <c r="N9" s="153">
        <v>0</v>
      </c>
      <c r="O9" s="153">
        <v>0</v>
      </c>
      <c r="P9" s="264">
        <v>0</v>
      </c>
      <c r="Q9" s="154">
        <v>0</v>
      </c>
      <c r="R9" s="153">
        <v>1180.8</v>
      </c>
      <c r="S9" s="153">
        <v>4059168.55</v>
      </c>
      <c r="T9" s="153">
        <v>5922162.9199999999</v>
      </c>
      <c r="U9" s="154">
        <v>0</v>
      </c>
      <c r="V9" s="154">
        <v>0</v>
      </c>
      <c r="W9" s="154">
        <v>0</v>
      </c>
      <c r="X9" s="154">
        <v>0</v>
      </c>
      <c r="Y9" s="154">
        <v>0</v>
      </c>
      <c r="Z9" s="1" t="b">
        <f t="shared" si="4"/>
        <v>1</v>
      </c>
      <c r="AA9" s="43">
        <f t="shared" si="2"/>
        <v>0.6</v>
      </c>
      <c r="AB9" s="44" t="b">
        <f t="shared" si="3"/>
        <v>1</v>
      </c>
      <c r="AC9" s="44" t="b">
        <f t="shared" si="5"/>
        <v>1</v>
      </c>
    </row>
    <row r="10" spans="1:35" ht="36.75" customHeight="1" x14ac:dyDescent="0.25">
      <c r="A10" s="144">
        <v>8</v>
      </c>
      <c r="B10" s="144">
        <v>152</v>
      </c>
      <c r="C10" s="144" t="s">
        <v>79</v>
      </c>
      <c r="D10" s="144" t="s">
        <v>92</v>
      </c>
      <c r="E10" s="158">
        <v>2004000</v>
      </c>
      <c r="F10" s="146" t="s">
        <v>102</v>
      </c>
      <c r="G10" s="147" t="s">
        <v>83</v>
      </c>
      <c r="H10" s="148">
        <v>1.663</v>
      </c>
      <c r="I10" s="149" t="s">
        <v>103</v>
      </c>
      <c r="J10" s="150">
        <v>6023410.9199999999</v>
      </c>
      <c r="K10" s="151">
        <f t="shared" si="6"/>
        <v>3614046.55</v>
      </c>
      <c r="L10" s="57">
        <f t="shared" si="0"/>
        <v>2409364.37</v>
      </c>
      <c r="M10" s="152">
        <v>0.6</v>
      </c>
      <c r="N10" s="153">
        <v>0</v>
      </c>
      <c r="O10" s="153">
        <v>0</v>
      </c>
      <c r="P10" s="264">
        <v>0</v>
      </c>
      <c r="Q10" s="154">
        <v>0</v>
      </c>
      <c r="R10" s="153">
        <v>1180.8</v>
      </c>
      <c r="S10" s="153">
        <f>1200000*M10</f>
        <v>720000</v>
      </c>
      <c r="T10" s="153">
        <v>2892865.75</v>
      </c>
      <c r="U10" s="154">
        <v>0</v>
      </c>
      <c r="V10" s="154">
        <v>0</v>
      </c>
      <c r="W10" s="154">
        <v>0</v>
      </c>
      <c r="X10" s="154">
        <v>0</v>
      </c>
      <c r="Y10" s="154">
        <v>0</v>
      </c>
      <c r="Z10" s="1" t="b">
        <f t="shared" si="4"/>
        <v>1</v>
      </c>
      <c r="AA10" s="43">
        <f t="shared" si="2"/>
        <v>0.6</v>
      </c>
      <c r="AB10" s="44" t="b">
        <f t="shared" si="3"/>
        <v>1</v>
      </c>
      <c r="AC10" s="44" t="b">
        <f t="shared" si="5"/>
        <v>1</v>
      </c>
    </row>
    <row r="11" spans="1:35" ht="36.75" customHeight="1" x14ac:dyDescent="0.25">
      <c r="A11" s="144">
        <v>9</v>
      </c>
      <c r="B11" s="144">
        <v>180</v>
      </c>
      <c r="C11" s="144" t="s">
        <v>79</v>
      </c>
      <c r="D11" s="144" t="s">
        <v>86</v>
      </c>
      <c r="E11" s="158">
        <v>2011000</v>
      </c>
      <c r="F11" s="146" t="s">
        <v>104</v>
      </c>
      <c r="G11" s="147" t="s">
        <v>85</v>
      </c>
      <c r="H11" s="148">
        <v>0.89400000000000002</v>
      </c>
      <c r="I11" s="149" t="s">
        <v>99</v>
      </c>
      <c r="J11" s="57">
        <v>10019641.93</v>
      </c>
      <c r="K11" s="151">
        <f t="shared" si="6"/>
        <v>6011785.1500000004</v>
      </c>
      <c r="L11" s="57">
        <f t="shared" si="0"/>
        <v>4007856.7799999993</v>
      </c>
      <c r="M11" s="152">
        <v>0.6</v>
      </c>
      <c r="N11" s="153">
        <v>0</v>
      </c>
      <c r="O11" s="153">
        <v>0</v>
      </c>
      <c r="P11" s="264">
        <v>0</v>
      </c>
      <c r="Q11" s="154">
        <v>0</v>
      </c>
      <c r="R11" s="153">
        <v>8235.32</v>
      </c>
      <c r="S11" s="153">
        <v>3294128.85</v>
      </c>
      <c r="T11" s="153">
        <v>2709420.98</v>
      </c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" t="b">
        <f t="shared" si="4"/>
        <v>1</v>
      </c>
      <c r="AA11" s="43">
        <f t="shared" si="2"/>
        <v>0.6</v>
      </c>
      <c r="AB11" s="44" t="b">
        <f t="shared" si="3"/>
        <v>1</v>
      </c>
      <c r="AC11" s="44" t="b">
        <f t="shared" si="5"/>
        <v>1</v>
      </c>
    </row>
    <row r="12" spans="1:35" ht="36.75" customHeight="1" x14ac:dyDescent="0.25">
      <c r="A12" s="144">
        <v>10</v>
      </c>
      <c r="B12" s="144">
        <v>181</v>
      </c>
      <c r="C12" s="144" t="s">
        <v>79</v>
      </c>
      <c r="D12" s="144" t="s">
        <v>86</v>
      </c>
      <c r="E12" s="158">
        <v>2011000</v>
      </c>
      <c r="F12" s="146" t="s">
        <v>105</v>
      </c>
      <c r="G12" s="147" t="s">
        <v>85</v>
      </c>
      <c r="H12" s="148">
        <v>0.75</v>
      </c>
      <c r="I12" s="149" t="s">
        <v>99</v>
      </c>
      <c r="J12" s="57">
        <v>9607983.7300000004</v>
      </c>
      <c r="K12" s="151">
        <f t="shared" si="6"/>
        <v>5764790.2300000004</v>
      </c>
      <c r="L12" s="57">
        <f t="shared" si="0"/>
        <v>3843193.5</v>
      </c>
      <c r="M12" s="152">
        <v>0.6</v>
      </c>
      <c r="N12" s="153">
        <v>0</v>
      </c>
      <c r="O12" s="153">
        <v>0</v>
      </c>
      <c r="P12" s="264">
        <v>0</v>
      </c>
      <c r="Q12" s="154">
        <v>0</v>
      </c>
      <c r="R12" s="153">
        <v>86471.85</v>
      </c>
      <c r="S12" s="153">
        <v>3458874.14</v>
      </c>
      <c r="T12" s="153">
        <v>2219444.2400000002</v>
      </c>
      <c r="U12" s="154">
        <v>0</v>
      </c>
      <c r="V12" s="154">
        <v>0</v>
      </c>
      <c r="W12" s="154">
        <v>0</v>
      </c>
      <c r="X12" s="154">
        <v>0</v>
      </c>
      <c r="Y12" s="154">
        <v>0</v>
      </c>
      <c r="Z12" s="1" t="b">
        <f t="shared" si="4"/>
        <v>1</v>
      </c>
      <c r="AA12" s="43">
        <f t="shared" si="2"/>
        <v>0.6</v>
      </c>
      <c r="AB12" s="44" t="b">
        <f t="shared" si="3"/>
        <v>1</v>
      </c>
      <c r="AC12" s="44" t="b">
        <f t="shared" si="5"/>
        <v>1</v>
      </c>
    </row>
    <row r="13" spans="1:35" s="162" customFormat="1" ht="44.25" customHeight="1" x14ac:dyDescent="0.2">
      <c r="A13" s="144">
        <v>11</v>
      </c>
      <c r="B13" s="144">
        <v>90</v>
      </c>
      <c r="C13" s="144" t="s">
        <v>79</v>
      </c>
      <c r="D13" s="144" t="s">
        <v>107</v>
      </c>
      <c r="E13" s="144">
        <v>2013</v>
      </c>
      <c r="F13" s="160" t="s">
        <v>108</v>
      </c>
      <c r="G13" s="147" t="s">
        <v>85</v>
      </c>
      <c r="H13" s="148">
        <v>7.2169999999999996</v>
      </c>
      <c r="I13" s="144" t="s">
        <v>109</v>
      </c>
      <c r="J13" s="150">
        <v>23928917.879999999</v>
      </c>
      <c r="K13" s="151">
        <f t="shared" si="6"/>
        <v>14357350.720000001</v>
      </c>
      <c r="L13" s="57">
        <f t="shared" si="0"/>
        <v>9571567.1599999983</v>
      </c>
      <c r="M13" s="152">
        <v>0.6</v>
      </c>
      <c r="N13" s="153">
        <v>0</v>
      </c>
      <c r="O13" s="153">
        <v>0</v>
      </c>
      <c r="P13" s="264">
        <v>0</v>
      </c>
      <c r="Q13" s="154">
        <v>0</v>
      </c>
      <c r="R13" s="154">
        <v>0</v>
      </c>
      <c r="S13" s="154">
        <v>1923683.9</v>
      </c>
      <c r="T13" s="153">
        <v>5969319.4100000001</v>
      </c>
      <c r="U13" s="153">
        <v>6464347.4100000001</v>
      </c>
      <c r="V13" s="154">
        <v>0</v>
      </c>
      <c r="W13" s="154">
        <v>0</v>
      </c>
      <c r="X13" s="154">
        <v>0</v>
      </c>
      <c r="Y13" s="154">
        <v>0</v>
      </c>
      <c r="Z13" s="1" t="b">
        <f t="shared" si="4"/>
        <v>1</v>
      </c>
      <c r="AA13" s="43">
        <f t="shared" si="2"/>
        <v>0.6</v>
      </c>
      <c r="AB13" s="44" t="b">
        <f t="shared" si="3"/>
        <v>1</v>
      </c>
      <c r="AC13" s="44" t="b">
        <f t="shared" si="5"/>
        <v>1</v>
      </c>
      <c r="AD13" s="161"/>
      <c r="AE13" s="161"/>
      <c r="AF13" s="161"/>
      <c r="AG13" s="161"/>
      <c r="AH13" s="161"/>
      <c r="AI13" s="161"/>
    </row>
    <row r="14" spans="1:35" s="164" customFormat="1" ht="36.75" customHeight="1" x14ac:dyDescent="0.2">
      <c r="A14" s="144">
        <v>12</v>
      </c>
      <c r="B14" s="144">
        <v>143</v>
      </c>
      <c r="C14" s="144" t="s">
        <v>79</v>
      </c>
      <c r="D14" s="144" t="s">
        <v>88</v>
      </c>
      <c r="E14" s="144">
        <v>2010</v>
      </c>
      <c r="F14" s="160" t="s">
        <v>110</v>
      </c>
      <c r="G14" s="147" t="s">
        <v>87</v>
      </c>
      <c r="H14" s="148">
        <v>6.8</v>
      </c>
      <c r="I14" s="149" t="s">
        <v>111</v>
      </c>
      <c r="J14" s="150">
        <v>7491359.4800000004</v>
      </c>
      <c r="K14" s="151">
        <f t="shared" si="6"/>
        <v>4494815.68</v>
      </c>
      <c r="L14" s="57">
        <f t="shared" si="0"/>
        <v>2996543.8000000007</v>
      </c>
      <c r="M14" s="152">
        <v>0.6</v>
      </c>
      <c r="N14" s="153">
        <v>0</v>
      </c>
      <c r="O14" s="153">
        <v>0</v>
      </c>
      <c r="P14" s="264">
        <v>0</v>
      </c>
      <c r="Q14" s="154">
        <v>0</v>
      </c>
      <c r="R14" s="154">
        <v>0</v>
      </c>
      <c r="S14" s="154">
        <v>1798375.75</v>
      </c>
      <c r="T14" s="153">
        <v>2696439.93</v>
      </c>
      <c r="U14" s="154">
        <v>0</v>
      </c>
      <c r="V14" s="154">
        <v>0</v>
      </c>
      <c r="W14" s="154">
        <v>0</v>
      </c>
      <c r="X14" s="154">
        <v>0</v>
      </c>
      <c r="Y14" s="154">
        <v>0</v>
      </c>
      <c r="Z14" s="1" t="b">
        <f t="shared" si="4"/>
        <v>1</v>
      </c>
      <c r="AA14" s="43">
        <f t="shared" si="2"/>
        <v>0.6</v>
      </c>
      <c r="AB14" s="44" t="b">
        <f t="shared" si="3"/>
        <v>1</v>
      </c>
      <c r="AC14" s="44" t="b">
        <f t="shared" si="5"/>
        <v>1</v>
      </c>
      <c r="AD14" s="163"/>
      <c r="AE14" s="163"/>
      <c r="AF14" s="163"/>
      <c r="AG14" s="163"/>
      <c r="AH14" s="163"/>
      <c r="AI14" s="163"/>
    </row>
    <row r="15" spans="1:35" s="164" customFormat="1" ht="36.75" customHeight="1" x14ac:dyDescent="0.2">
      <c r="A15" s="144">
        <v>13</v>
      </c>
      <c r="B15" s="144">
        <v>95</v>
      </c>
      <c r="C15" s="144" t="s">
        <v>79</v>
      </c>
      <c r="D15" s="144" t="s">
        <v>107</v>
      </c>
      <c r="E15" s="144">
        <v>2013</v>
      </c>
      <c r="F15" s="160" t="s">
        <v>112</v>
      </c>
      <c r="G15" s="147" t="s">
        <v>85</v>
      </c>
      <c r="H15" s="148">
        <v>6</v>
      </c>
      <c r="I15" s="144" t="s">
        <v>113</v>
      </c>
      <c r="J15" s="150">
        <v>22556994.600000001</v>
      </c>
      <c r="K15" s="151">
        <f t="shared" si="6"/>
        <v>13534196.76</v>
      </c>
      <c r="L15" s="57">
        <f t="shared" si="0"/>
        <v>9022797.8400000017</v>
      </c>
      <c r="M15" s="152">
        <v>0.6</v>
      </c>
      <c r="N15" s="153">
        <v>0</v>
      </c>
      <c r="O15" s="153">
        <v>0</v>
      </c>
      <c r="P15" s="264">
        <v>0</v>
      </c>
      <c r="Q15" s="154">
        <v>0</v>
      </c>
      <c r="R15" s="154">
        <v>0</v>
      </c>
      <c r="S15" s="153">
        <v>2181246.25</v>
      </c>
      <c r="T15" s="153">
        <v>4515237.91</v>
      </c>
      <c r="U15" s="153">
        <v>6837712.5999999996</v>
      </c>
      <c r="V15" s="154">
        <v>0</v>
      </c>
      <c r="W15" s="154">
        <v>0</v>
      </c>
      <c r="X15" s="154">
        <v>0</v>
      </c>
      <c r="Y15" s="154">
        <v>0</v>
      </c>
      <c r="Z15" s="1" t="b">
        <f t="shared" si="4"/>
        <v>1</v>
      </c>
      <c r="AA15" s="43">
        <f t="shared" si="2"/>
        <v>0.6</v>
      </c>
      <c r="AB15" s="44" t="b">
        <f t="shared" si="3"/>
        <v>1</v>
      </c>
      <c r="AC15" s="44" t="b">
        <f t="shared" si="5"/>
        <v>1</v>
      </c>
      <c r="AD15" s="163"/>
      <c r="AE15" s="163"/>
      <c r="AF15" s="163"/>
      <c r="AG15" s="163"/>
      <c r="AH15" s="163"/>
      <c r="AI15" s="163"/>
    </row>
    <row r="16" spans="1:35" s="166" customFormat="1" ht="36.75" customHeight="1" x14ac:dyDescent="0.25">
      <c r="A16" s="144">
        <v>14</v>
      </c>
      <c r="B16" s="144">
        <v>92</v>
      </c>
      <c r="C16" s="144" t="s">
        <v>79</v>
      </c>
      <c r="D16" s="144" t="s">
        <v>107</v>
      </c>
      <c r="E16" s="144">
        <v>2013</v>
      </c>
      <c r="F16" s="160" t="s">
        <v>114</v>
      </c>
      <c r="G16" s="147" t="s">
        <v>87</v>
      </c>
      <c r="H16" s="148">
        <v>5.9489999999999998</v>
      </c>
      <c r="I16" s="144" t="s">
        <v>115</v>
      </c>
      <c r="J16" s="150">
        <v>7402719.4299999997</v>
      </c>
      <c r="K16" s="151">
        <f t="shared" si="6"/>
        <v>4441631.6500000004</v>
      </c>
      <c r="L16" s="57">
        <f t="shared" si="0"/>
        <v>2961087.7799999993</v>
      </c>
      <c r="M16" s="152">
        <v>0.6</v>
      </c>
      <c r="N16" s="153">
        <v>0</v>
      </c>
      <c r="O16" s="153">
        <v>0</v>
      </c>
      <c r="P16" s="264">
        <v>0</v>
      </c>
      <c r="Q16" s="154">
        <v>0</v>
      </c>
      <c r="R16" s="154">
        <v>0</v>
      </c>
      <c r="S16" s="154">
        <v>1494341.26</v>
      </c>
      <c r="T16" s="153">
        <v>2947290.39</v>
      </c>
      <c r="U16" s="154">
        <v>0</v>
      </c>
      <c r="V16" s="154">
        <v>0</v>
      </c>
      <c r="W16" s="154">
        <v>0</v>
      </c>
      <c r="X16" s="154">
        <v>0</v>
      </c>
      <c r="Y16" s="154">
        <v>0</v>
      </c>
      <c r="Z16" s="1" t="b">
        <f t="shared" si="4"/>
        <v>1</v>
      </c>
      <c r="AA16" s="43">
        <f t="shared" si="2"/>
        <v>0.6</v>
      </c>
      <c r="AB16" s="44" t="b">
        <f t="shared" si="3"/>
        <v>1</v>
      </c>
      <c r="AC16" s="44" t="b">
        <f t="shared" si="5"/>
        <v>1</v>
      </c>
      <c r="AD16" s="165"/>
      <c r="AE16" s="165"/>
      <c r="AF16" s="165"/>
      <c r="AG16" s="165"/>
      <c r="AH16" s="165"/>
      <c r="AI16" s="165"/>
    </row>
    <row r="17" spans="1:35" ht="36.75" customHeight="1" x14ac:dyDescent="0.25">
      <c r="A17" s="144">
        <v>15</v>
      </c>
      <c r="B17" s="144">
        <v>145</v>
      </c>
      <c r="C17" s="144" t="s">
        <v>79</v>
      </c>
      <c r="D17" s="144" t="s">
        <v>88</v>
      </c>
      <c r="E17" s="144">
        <v>2010</v>
      </c>
      <c r="F17" s="160" t="s">
        <v>116</v>
      </c>
      <c r="G17" s="147" t="s">
        <v>83</v>
      </c>
      <c r="H17" s="148">
        <v>5.03</v>
      </c>
      <c r="I17" s="149" t="s">
        <v>117</v>
      </c>
      <c r="J17" s="150">
        <v>9651618.3399999999</v>
      </c>
      <c r="K17" s="151">
        <f>ROUNDDOWN(J17*M17,2)</f>
        <v>5790971</v>
      </c>
      <c r="L17" s="57">
        <f t="shared" si="0"/>
        <v>3860647.34</v>
      </c>
      <c r="M17" s="152">
        <v>0.6</v>
      </c>
      <c r="N17" s="153">
        <v>0</v>
      </c>
      <c r="O17" s="153">
        <v>0</v>
      </c>
      <c r="P17" s="264">
        <v>0</v>
      </c>
      <c r="Q17" s="154">
        <v>0</v>
      </c>
      <c r="R17" s="154">
        <v>0</v>
      </c>
      <c r="S17" s="154">
        <v>1737291.3</v>
      </c>
      <c r="T17" s="153">
        <v>4053679.7</v>
      </c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" t="b">
        <f t="shared" si="4"/>
        <v>1</v>
      </c>
      <c r="AA17" s="43">
        <f t="shared" si="2"/>
        <v>0.6</v>
      </c>
      <c r="AB17" s="44" t="b">
        <f t="shared" si="3"/>
        <v>1</v>
      </c>
      <c r="AC17" s="44" t="b">
        <f t="shared" si="5"/>
        <v>1</v>
      </c>
      <c r="AD17" s="2"/>
      <c r="AE17" s="2"/>
      <c r="AF17" s="2"/>
      <c r="AG17" s="2"/>
      <c r="AH17" s="2"/>
      <c r="AI17" s="2"/>
    </row>
    <row r="18" spans="1:35" ht="36.75" customHeight="1" x14ac:dyDescent="0.25">
      <c r="A18" s="144">
        <v>16</v>
      </c>
      <c r="B18" s="144">
        <v>252</v>
      </c>
      <c r="C18" s="144" t="s">
        <v>79</v>
      </c>
      <c r="D18" s="144" t="s">
        <v>59</v>
      </c>
      <c r="E18" s="144">
        <v>2011</v>
      </c>
      <c r="F18" s="160" t="s">
        <v>118</v>
      </c>
      <c r="G18" s="147" t="s">
        <v>85</v>
      </c>
      <c r="H18" s="148">
        <v>4.6449999999999996</v>
      </c>
      <c r="I18" s="149" t="s">
        <v>119</v>
      </c>
      <c r="J18" s="150">
        <v>10069000</v>
      </c>
      <c r="K18" s="151">
        <f>ROUNDDOWN(J18*M18,2)</f>
        <v>6041400</v>
      </c>
      <c r="L18" s="57">
        <f t="shared" si="0"/>
        <v>4027600</v>
      </c>
      <c r="M18" s="152">
        <v>0.6</v>
      </c>
      <c r="N18" s="153">
        <v>0</v>
      </c>
      <c r="O18" s="153">
        <v>0</v>
      </c>
      <c r="P18" s="264">
        <v>0</v>
      </c>
      <c r="Q18" s="154">
        <v>0</v>
      </c>
      <c r="R18" s="154">
        <v>0</v>
      </c>
      <c r="S18" s="154">
        <f>5049000*M18</f>
        <v>3029400</v>
      </c>
      <c r="T18" s="153">
        <f>(5020000*M18)</f>
        <v>3012000</v>
      </c>
      <c r="U18" s="154">
        <v>0</v>
      </c>
      <c r="V18" s="154">
        <v>0</v>
      </c>
      <c r="W18" s="154">
        <v>0</v>
      </c>
      <c r="X18" s="154">
        <v>0</v>
      </c>
      <c r="Y18" s="154">
        <v>0</v>
      </c>
      <c r="Z18" s="1" t="b">
        <f t="shared" si="4"/>
        <v>1</v>
      </c>
      <c r="AA18" s="43">
        <f t="shared" si="2"/>
        <v>0.6</v>
      </c>
      <c r="AB18" s="44" t="b">
        <f t="shared" si="3"/>
        <v>1</v>
      </c>
      <c r="AC18" s="44" t="b">
        <f t="shared" si="5"/>
        <v>1</v>
      </c>
      <c r="AD18" s="2"/>
      <c r="AE18" s="2"/>
      <c r="AF18" s="2"/>
      <c r="AG18" s="2"/>
      <c r="AH18" s="2"/>
      <c r="AI18" s="2"/>
    </row>
    <row r="19" spans="1:35" ht="36.75" customHeight="1" x14ac:dyDescent="0.25">
      <c r="A19" s="144">
        <v>17</v>
      </c>
      <c r="B19" s="265">
        <v>93</v>
      </c>
      <c r="C19" s="265" t="s">
        <v>79</v>
      </c>
      <c r="D19" s="265" t="s">
        <v>510</v>
      </c>
      <c r="E19" s="265">
        <v>2013</v>
      </c>
      <c r="F19" s="266" t="s">
        <v>120</v>
      </c>
      <c r="G19" s="267" t="s">
        <v>85</v>
      </c>
      <c r="H19" s="268">
        <v>4.3499999999999996</v>
      </c>
      <c r="I19" s="265" t="s">
        <v>113</v>
      </c>
      <c r="J19" s="269">
        <v>13967808.92</v>
      </c>
      <c r="K19" s="270">
        <f>ROUNDDOWN(J19*M19,2)</f>
        <v>8380685.3499999996</v>
      </c>
      <c r="L19" s="271">
        <f t="shared" si="0"/>
        <v>5587123.5700000003</v>
      </c>
      <c r="M19" s="272">
        <v>0.6</v>
      </c>
      <c r="N19" s="273">
        <v>0</v>
      </c>
      <c r="O19" s="273">
        <v>0</v>
      </c>
      <c r="P19" s="274">
        <v>0</v>
      </c>
      <c r="Q19" s="275">
        <v>0</v>
      </c>
      <c r="R19" s="275">
        <v>0</v>
      </c>
      <c r="S19" s="273">
        <v>1863478.8</v>
      </c>
      <c r="T19" s="273">
        <v>3854171.1</v>
      </c>
      <c r="U19" s="273">
        <v>2663035.4500000002</v>
      </c>
      <c r="V19" s="275">
        <v>0</v>
      </c>
      <c r="W19" s="275">
        <v>0</v>
      </c>
      <c r="X19" s="275">
        <v>0</v>
      </c>
      <c r="Y19" s="275">
        <v>0</v>
      </c>
      <c r="Z19" s="1" t="b">
        <f t="shared" si="4"/>
        <v>1</v>
      </c>
      <c r="AA19" s="43">
        <f t="shared" si="2"/>
        <v>0.6</v>
      </c>
      <c r="AB19" s="44" t="b">
        <f t="shared" si="3"/>
        <v>1</v>
      </c>
      <c r="AC19" s="44" t="b">
        <f t="shared" si="5"/>
        <v>1</v>
      </c>
      <c r="AD19" s="2"/>
      <c r="AE19" s="2"/>
      <c r="AF19" s="2"/>
      <c r="AG19" s="2"/>
      <c r="AH19" s="2"/>
      <c r="AI19" s="2"/>
    </row>
    <row r="20" spans="1:35" ht="36.75" customHeight="1" x14ac:dyDescent="0.25">
      <c r="A20" s="144">
        <v>18</v>
      </c>
      <c r="B20" s="144">
        <v>251</v>
      </c>
      <c r="C20" s="144" t="s">
        <v>79</v>
      </c>
      <c r="D20" s="144" t="s">
        <v>59</v>
      </c>
      <c r="E20" s="144">
        <v>2011</v>
      </c>
      <c r="F20" s="160" t="s">
        <v>121</v>
      </c>
      <c r="G20" s="147" t="s">
        <v>85</v>
      </c>
      <c r="H20" s="148">
        <v>4.117</v>
      </c>
      <c r="I20" s="149" t="s">
        <v>119</v>
      </c>
      <c r="J20" s="150">
        <v>9765000</v>
      </c>
      <c r="K20" s="151">
        <f>ROUNDDOWN(J20*M20,2)</f>
        <v>5859000</v>
      </c>
      <c r="L20" s="57">
        <f t="shared" si="0"/>
        <v>3906000</v>
      </c>
      <c r="M20" s="152">
        <v>0.6</v>
      </c>
      <c r="N20" s="153">
        <v>0</v>
      </c>
      <c r="O20" s="153">
        <v>0</v>
      </c>
      <c r="P20" s="264">
        <v>0</v>
      </c>
      <c r="Q20" s="154">
        <v>0</v>
      </c>
      <c r="R20" s="154">
        <v>0</v>
      </c>
      <c r="S20" s="154">
        <f>5765000*M20</f>
        <v>3459000</v>
      </c>
      <c r="T20" s="153">
        <f>(4000000*M20)</f>
        <v>2400000</v>
      </c>
      <c r="U20" s="154">
        <v>0</v>
      </c>
      <c r="V20" s="154">
        <v>0</v>
      </c>
      <c r="W20" s="154">
        <v>0</v>
      </c>
      <c r="X20" s="154">
        <v>0</v>
      </c>
      <c r="Y20" s="154">
        <v>0</v>
      </c>
      <c r="Z20" s="1" t="b">
        <f t="shared" si="4"/>
        <v>1</v>
      </c>
      <c r="AA20" s="43">
        <f t="shared" si="2"/>
        <v>0.6</v>
      </c>
      <c r="AB20" s="44" t="b">
        <f t="shared" si="3"/>
        <v>1</v>
      </c>
      <c r="AC20" s="44" t="b">
        <f t="shared" si="5"/>
        <v>1</v>
      </c>
      <c r="AD20" s="2"/>
      <c r="AE20" s="2"/>
      <c r="AF20" s="2"/>
      <c r="AG20" s="2"/>
      <c r="AH20" s="2"/>
      <c r="AI20" s="2"/>
    </row>
    <row r="21" spans="1:35" s="168" customFormat="1" ht="36.75" customHeight="1" x14ac:dyDescent="0.25">
      <c r="A21" s="293" t="s">
        <v>547</v>
      </c>
      <c r="B21" s="144">
        <v>253</v>
      </c>
      <c r="C21" s="144" t="s">
        <v>79</v>
      </c>
      <c r="D21" s="144" t="s">
        <v>59</v>
      </c>
      <c r="E21" s="144">
        <v>2011</v>
      </c>
      <c r="F21" s="160" t="s">
        <v>122</v>
      </c>
      <c r="G21" s="147" t="s">
        <v>85</v>
      </c>
      <c r="H21" s="148">
        <v>3.53</v>
      </c>
      <c r="I21" s="276" t="s">
        <v>119</v>
      </c>
      <c r="J21" s="269">
        <v>7838500</v>
      </c>
      <c r="K21" s="270">
        <f>ROUNDDOWN(J21*M21,2)-236587.02</f>
        <v>4466512.9800000004</v>
      </c>
      <c r="L21" s="271">
        <f t="shared" si="0"/>
        <v>3371987.0199999996</v>
      </c>
      <c r="M21" s="272">
        <v>0.6</v>
      </c>
      <c r="N21" s="273">
        <v>0</v>
      </c>
      <c r="O21" s="273">
        <v>0</v>
      </c>
      <c r="P21" s="274">
        <v>0</v>
      </c>
      <c r="Q21" s="275">
        <v>0</v>
      </c>
      <c r="R21" s="275">
        <v>0</v>
      </c>
      <c r="S21" s="275">
        <f>4000000*M21</f>
        <v>2400000</v>
      </c>
      <c r="T21" s="273">
        <f>(3838500*M21)-236587.02</f>
        <v>2066512.98</v>
      </c>
      <c r="U21" s="275">
        <v>0</v>
      </c>
      <c r="V21" s="154">
        <v>0</v>
      </c>
      <c r="W21" s="154">
        <v>0</v>
      </c>
      <c r="X21" s="154">
        <v>0</v>
      </c>
      <c r="Y21" s="154">
        <v>0</v>
      </c>
      <c r="Z21" s="1" t="b">
        <f t="shared" si="4"/>
        <v>1</v>
      </c>
      <c r="AA21" s="43">
        <f t="shared" si="2"/>
        <v>0.56979999999999997</v>
      </c>
      <c r="AB21" s="44" t="b">
        <f t="shared" si="3"/>
        <v>0</v>
      </c>
      <c r="AC21" s="44" t="b">
        <f t="shared" si="5"/>
        <v>1</v>
      </c>
      <c r="AD21" s="167"/>
      <c r="AE21" s="167"/>
      <c r="AF21" s="167"/>
      <c r="AG21" s="167"/>
      <c r="AH21" s="167"/>
      <c r="AI21" s="167"/>
    </row>
    <row r="22" spans="1:35" s="168" customFormat="1" ht="36.75" customHeight="1" x14ac:dyDescent="0.25">
      <c r="A22" s="293" t="s">
        <v>548</v>
      </c>
      <c r="B22" s="144">
        <v>248</v>
      </c>
      <c r="C22" s="144" t="s">
        <v>79</v>
      </c>
      <c r="D22" s="144" t="s">
        <v>59</v>
      </c>
      <c r="E22" s="144">
        <v>2011</v>
      </c>
      <c r="F22" s="160" t="s">
        <v>124</v>
      </c>
      <c r="G22" s="147" t="s">
        <v>85</v>
      </c>
      <c r="H22" s="148">
        <v>2.58</v>
      </c>
      <c r="I22" s="149" t="s">
        <v>119</v>
      </c>
      <c r="J22" s="233">
        <v>6028000</v>
      </c>
      <c r="K22" s="151">
        <f>ROUNDDOWN(J22*M22,2)-1200000</f>
        <v>2416800</v>
      </c>
      <c r="L22" s="57">
        <f t="shared" si="0"/>
        <v>3611200</v>
      </c>
      <c r="M22" s="152">
        <v>0.6</v>
      </c>
      <c r="N22" s="153">
        <v>0</v>
      </c>
      <c r="O22" s="153">
        <v>0</v>
      </c>
      <c r="P22" s="264">
        <v>0</v>
      </c>
      <c r="Q22" s="154">
        <v>0</v>
      </c>
      <c r="R22" s="154">
        <v>0</v>
      </c>
      <c r="S22" s="154">
        <f>4028000*M22</f>
        <v>2416800</v>
      </c>
      <c r="T22" s="153">
        <f>2000000*M22-1200000</f>
        <v>0</v>
      </c>
      <c r="U22" s="154">
        <v>0</v>
      </c>
      <c r="V22" s="233">
        <v>0</v>
      </c>
      <c r="W22" s="233">
        <v>0</v>
      </c>
      <c r="X22" s="233">
        <v>0</v>
      </c>
      <c r="Y22" s="233">
        <v>0</v>
      </c>
      <c r="Z22" s="1" t="b">
        <f t="shared" si="4"/>
        <v>1</v>
      </c>
      <c r="AA22" s="43">
        <f t="shared" si="2"/>
        <v>0.40089999999999998</v>
      </c>
      <c r="AB22" s="44" t="b">
        <f t="shared" si="3"/>
        <v>0</v>
      </c>
      <c r="AC22" s="44" t="b">
        <f t="shared" si="5"/>
        <v>1</v>
      </c>
      <c r="AD22" s="167"/>
      <c r="AE22" s="167"/>
      <c r="AF22" s="167"/>
      <c r="AG22" s="167"/>
      <c r="AH22" s="167"/>
      <c r="AI22" s="167"/>
    </row>
    <row r="23" spans="1:35" s="168" customFormat="1" ht="36.75" customHeight="1" x14ac:dyDescent="0.25">
      <c r="A23" s="293" t="s">
        <v>549</v>
      </c>
      <c r="B23" s="144">
        <v>198</v>
      </c>
      <c r="C23" s="144" t="s">
        <v>79</v>
      </c>
      <c r="D23" s="144" t="s">
        <v>50</v>
      </c>
      <c r="E23" s="144">
        <v>2002</v>
      </c>
      <c r="F23" s="160" t="s">
        <v>125</v>
      </c>
      <c r="G23" s="147" t="s">
        <v>85</v>
      </c>
      <c r="H23" s="148">
        <v>2.2349999999999999</v>
      </c>
      <c r="I23" s="149" t="s">
        <v>126</v>
      </c>
      <c r="J23" s="150">
        <v>9095500</v>
      </c>
      <c r="K23" s="151">
        <f>ROUNDDOWN(J23*M23,2)-2700000</f>
        <v>2757300</v>
      </c>
      <c r="L23" s="57">
        <f t="shared" si="0"/>
        <v>6338200</v>
      </c>
      <c r="M23" s="152">
        <v>0.6</v>
      </c>
      <c r="N23" s="153">
        <v>0</v>
      </c>
      <c r="O23" s="153">
        <v>0</v>
      </c>
      <c r="P23" s="264">
        <v>0</v>
      </c>
      <c r="Q23" s="154">
        <v>0</v>
      </c>
      <c r="R23" s="154">
        <v>0</v>
      </c>
      <c r="S23" s="154">
        <f>20000*M23</f>
        <v>12000</v>
      </c>
      <c r="T23" s="153">
        <f>4500000*M23-2700000</f>
        <v>0</v>
      </c>
      <c r="U23" s="153">
        <f>4575500*M23</f>
        <v>2745300</v>
      </c>
      <c r="V23" s="154">
        <v>0</v>
      </c>
      <c r="W23" s="233">
        <v>0</v>
      </c>
      <c r="X23" s="233">
        <v>0</v>
      </c>
      <c r="Y23" s="233">
        <v>0</v>
      </c>
      <c r="Z23" s="1" t="b">
        <f t="shared" si="4"/>
        <v>1</v>
      </c>
      <c r="AA23" s="43">
        <f t="shared" si="2"/>
        <v>0.30309999999999998</v>
      </c>
      <c r="AB23" s="44" t="b">
        <f t="shared" si="3"/>
        <v>0</v>
      </c>
      <c r="AC23" s="44" t="b">
        <f t="shared" si="5"/>
        <v>1</v>
      </c>
      <c r="AD23" s="167"/>
      <c r="AE23" s="167"/>
      <c r="AF23" s="167"/>
      <c r="AG23" s="167"/>
      <c r="AH23" s="167"/>
      <c r="AI23" s="167"/>
    </row>
    <row r="24" spans="1:35" s="168" customFormat="1" ht="36.75" customHeight="1" x14ac:dyDescent="0.25">
      <c r="A24" s="293" t="s">
        <v>550</v>
      </c>
      <c r="B24" s="144">
        <v>266</v>
      </c>
      <c r="C24" s="265" t="s">
        <v>79</v>
      </c>
      <c r="D24" s="265" t="s">
        <v>511</v>
      </c>
      <c r="E24" s="265">
        <v>2003</v>
      </c>
      <c r="F24" s="266" t="s">
        <v>127</v>
      </c>
      <c r="G24" s="267" t="s">
        <v>85</v>
      </c>
      <c r="H24" s="268">
        <v>2.2149999999999999</v>
      </c>
      <c r="I24" s="276" t="s">
        <v>512</v>
      </c>
      <c r="J24" s="269">
        <v>5818178.8399999999</v>
      </c>
      <c r="K24" s="270">
        <f>(J24*M24)-1163635.77</f>
        <v>2327271.534</v>
      </c>
      <c r="L24" s="271">
        <f>J24-K24</f>
        <v>3490907.3059999999</v>
      </c>
      <c r="M24" s="272">
        <v>0.6</v>
      </c>
      <c r="N24" s="273">
        <v>0</v>
      </c>
      <c r="O24" s="273">
        <v>0</v>
      </c>
      <c r="P24" s="274">
        <v>0</v>
      </c>
      <c r="Q24" s="275">
        <v>0</v>
      </c>
      <c r="R24" s="275">
        <v>0</v>
      </c>
      <c r="S24" s="275">
        <v>1163635.77</v>
      </c>
      <c r="T24" s="275">
        <f>K24-S24-U24</f>
        <v>3.9999999571591616E-3</v>
      </c>
      <c r="U24" s="275">
        <v>1163635.76</v>
      </c>
      <c r="V24" s="275">
        <v>0</v>
      </c>
      <c r="W24" s="154">
        <v>0</v>
      </c>
      <c r="X24" s="233">
        <v>0</v>
      </c>
      <c r="Y24" s="233">
        <v>0</v>
      </c>
      <c r="Z24" s="1" t="b">
        <f t="shared" si="4"/>
        <v>1</v>
      </c>
      <c r="AA24" s="43">
        <f t="shared" si="2"/>
        <v>0.4</v>
      </c>
      <c r="AB24" s="44" t="b">
        <f t="shared" si="3"/>
        <v>0</v>
      </c>
      <c r="AC24" s="44" t="b">
        <f t="shared" si="5"/>
        <v>1</v>
      </c>
      <c r="AD24" s="167"/>
      <c r="AE24" s="167"/>
      <c r="AF24" s="167"/>
      <c r="AG24" s="167"/>
      <c r="AH24" s="167"/>
      <c r="AI24" s="167"/>
    </row>
    <row r="25" spans="1:35" s="279" customFormat="1" ht="36.75" customHeight="1" x14ac:dyDescent="0.25">
      <c r="A25" s="295" t="s">
        <v>551</v>
      </c>
      <c r="B25" s="265">
        <v>94</v>
      </c>
      <c r="C25" s="265" t="s">
        <v>79</v>
      </c>
      <c r="D25" s="265" t="s">
        <v>61</v>
      </c>
      <c r="E25" s="265">
        <v>2013</v>
      </c>
      <c r="F25" s="266" t="s">
        <v>128</v>
      </c>
      <c r="G25" s="267" t="s">
        <v>85</v>
      </c>
      <c r="H25" s="268">
        <v>2.1</v>
      </c>
      <c r="I25" s="265" t="s">
        <v>109</v>
      </c>
      <c r="J25" s="269">
        <v>7560214</v>
      </c>
      <c r="K25" s="270">
        <f>ROUNDDOWN(J25*M25,2)-2158571.45</f>
        <v>2377556.9500000002</v>
      </c>
      <c r="L25" s="271">
        <f t="shared" ref="L25:L30" si="7">J25-K25</f>
        <v>5182657.05</v>
      </c>
      <c r="M25" s="272">
        <v>0.6</v>
      </c>
      <c r="N25" s="273">
        <v>0</v>
      </c>
      <c r="O25" s="273">
        <v>0</v>
      </c>
      <c r="P25" s="274">
        <v>0</v>
      </c>
      <c r="Q25" s="275">
        <v>0</v>
      </c>
      <c r="R25" s="275">
        <v>0</v>
      </c>
      <c r="S25" s="273">
        <v>1396591.25</v>
      </c>
      <c r="T25" s="273">
        <f>K25-S25-U25</f>
        <v>0</v>
      </c>
      <c r="U25" s="273">
        <v>980965.7</v>
      </c>
      <c r="V25" s="275">
        <v>0</v>
      </c>
      <c r="W25" s="275">
        <v>0</v>
      </c>
      <c r="X25" s="277">
        <v>0</v>
      </c>
      <c r="Y25" s="277">
        <v>0</v>
      </c>
      <c r="Z25" s="1" t="b">
        <f t="shared" si="4"/>
        <v>1</v>
      </c>
      <c r="AA25" s="43">
        <f t="shared" si="2"/>
        <v>0.3145</v>
      </c>
      <c r="AB25" s="44" t="b">
        <f t="shared" si="3"/>
        <v>0</v>
      </c>
      <c r="AC25" s="44" t="b">
        <f t="shared" si="5"/>
        <v>1</v>
      </c>
      <c r="AD25" s="278"/>
      <c r="AE25" s="278"/>
      <c r="AF25" s="278"/>
      <c r="AG25" s="278"/>
      <c r="AH25" s="278"/>
      <c r="AI25" s="278"/>
    </row>
    <row r="26" spans="1:35" s="45" customFormat="1" ht="36.75" customHeight="1" x14ac:dyDescent="0.25">
      <c r="A26" s="293" t="s">
        <v>552</v>
      </c>
      <c r="B26" s="265">
        <v>91</v>
      </c>
      <c r="C26" s="265" t="s">
        <v>79</v>
      </c>
      <c r="D26" s="265" t="s">
        <v>513</v>
      </c>
      <c r="E26" s="265">
        <v>2013</v>
      </c>
      <c r="F26" s="266" t="s">
        <v>129</v>
      </c>
      <c r="G26" s="267" t="s">
        <v>85</v>
      </c>
      <c r="H26" s="268">
        <v>1.75</v>
      </c>
      <c r="I26" s="265" t="s">
        <v>109</v>
      </c>
      <c r="J26" s="269">
        <v>5134364.4000000004</v>
      </c>
      <c r="K26" s="270">
        <f>ROUNDDOWN(J26*M26,2)-1321307.41</f>
        <v>1759311.2300000002</v>
      </c>
      <c r="L26" s="271">
        <f t="shared" si="7"/>
        <v>3375053.17</v>
      </c>
      <c r="M26" s="272">
        <v>0.6</v>
      </c>
      <c r="N26" s="273">
        <v>0</v>
      </c>
      <c r="O26" s="273">
        <v>0</v>
      </c>
      <c r="P26" s="274">
        <v>0</v>
      </c>
      <c r="Q26" s="275">
        <v>0</v>
      </c>
      <c r="R26" s="275">
        <v>0</v>
      </c>
      <c r="S26" s="273">
        <v>1139282.04</v>
      </c>
      <c r="T26" s="273">
        <f>K26-U26-S26</f>
        <v>0</v>
      </c>
      <c r="U26" s="273">
        <v>620029.18999999994</v>
      </c>
      <c r="V26" s="275">
        <v>0</v>
      </c>
      <c r="W26" s="275">
        <v>0</v>
      </c>
      <c r="X26" s="233">
        <v>0</v>
      </c>
      <c r="Y26" s="233">
        <v>0</v>
      </c>
      <c r="Z26" s="1" t="b">
        <f t="shared" si="4"/>
        <v>1</v>
      </c>
      <c r="AA26" s="43">
        <f t="shared" si="2"/>
        <v>0.3427</v>
      </c>
      <c r="AB26" s="44" t="b">
        <f t="shared" si="3"/>
        <v>0</v>
      </c>
      <c r="AC26" s="44" t="b">
        <f t="shared" si="5"/>
        <v>1</v>
      </c>
      <c r="AD26" s="2"/>
      <c r="AE26" s="169"/>
      <c r="AF26" s="169"/>
      <c r="AG26" s="169"/>
      <c r="AH26" s="169"/>
      <c r="AI26" s="169"/>
    </row>
    <row r="27" spans="1:35" s="45" customFormat="1" ht="36.75" customHeight="1" x14ac:dyDescent="0.25">
      <c r="A27" s="293" t="s">
        <v>543</v>
      </c>
      <c r="B27" s="144">
        <v>232</v>
      </c>
      <c r="C27" s="144" t="s">
        <v>79</v>
      </c>
      <c r="D27" s="144" t="s">
        <v>52</v>
      </c>
      <c r="E27" s="144">
        <v>2004</v>
      </c>
      <c r="F27" s="160" t="s">
        <v>130</v>
      </c>
      <c r="G27" s="147" t="s">
        <v>85</v>
      </c>
      <c r="H27" s="148">
        <v>1.73</v>
      </c>
      <c r="I27" s="149" t="s">
        <v>123</v>
      </c>
      <c r="J27" s="150">
        <v>4364000</v>
      </c>
      <c r="K27" s="151">
        <f>ROUNDDOWN(J27*M27,2)-1836600</f>
        <v>781800</v>
      </c>
      <c r="L27" s="57">
        <f t="shared" si="7"/>
        <v>3582200</v>
      </c>
      <c r="M27" s="152">
        <v>0.6</v>
      </c>
      <c r="N27" s="153">
        <v>0</v>
      </c>
      <c r="O27" s="153">
        <v>0</v>
      </c>
      <c r="P27" s="264">
        <v>0</v>
      </c>
      <c r="Q27" s="154">
        <v>0</v>
      </c>
      <c r="R27" s="154">
        <v>0</v>
      </c>
      <c r="S27" s="154">
        <f>1303000*M27</f>
        <v>781800</v>
      </c>
      <c r="T27" s="153">
        <f>3061000*M27-1836600</f>
        <v>0</v>
      </c>
      <c r="U27" s="154">
        <v>0</v>
      </c>
      <c r="V27" s="154">
        <v>0</v>
      </c>
      <c r="W27" s="154">
        <v>0</v>
      </c>
      <c r="X27" s="233">
        <v>0</v>
      </c>
      <c r="Y27" s="233">
        <v>0</v>
      </c>
      <c r="Z27" s="1" t="b">
        <f t="shared" si="4"/>
        <v>1</v>
      </c>
      <c r="AA27" s="43">
        <f t="shared" si="2"/>
        <v>0.17910000000000001</v>
      </c>
      <c r="AB27" s="44" t="b">
        <f t="shared" si="3"/>
        <v>0</v>
      </c>
      <c r="AC27" s="44" t="b">
        <f t="shared" si="5"/>
        <v>1</v>
      </c>
      <c r="AD27" s="2"/>
      <c r="AE27" s="169"/>
      <c r="AF27" s="169"/>
      <c r="AG27" s="169"/>
      <c r="AH27" s="169"/>
      <c r="AI27" s="169"/>
    </row>
    <row r="28" spans="1:35" s="169" customFormat="1" ht="36.75" customHeight="1" x14ac:dyDescent="0.25">
      <c r="A28" s="293" t="s">
        <v>544</v>
      </c>
      <c r="B28" s="144">
        <v>84</v>
      </c>
      <c r="C28" s="155" t="s">
        <v>79</v>
      </c>
      <c r="D28" s="144" t="s">
        <v>55</v>
      </c>
      <c r="E28" s="144">
        <v>2007</v>
      </c>
      <c r="F28" s="160" t="s">
        <v>131</v>
      </c>
      <c r="G28" s="147" t="s">
        <v>83</v>
      </c>
      <c r="H28" s="148">
        <v>1.5</v>
      </c>
      <c r="I28" s="144" t="s">
        <v>132</v>
      </c>
      <c r="J28" s="150">
        <v>5006000</v>
      </c>
      <c r="K28" s="151">
        <f>ROUNDDOWN(J28*M28,2)-2703600</f>
        <v>300000</v>
      </c>
      <c r="L28" s="57">
        <f t="shared" si="7"/>
        <v>4706000</v>
      </c>
      <c r="M28" s="152">
        <v>0.6</v>
      </c>
      <c r="N28" s="153">
        <v>0</v>
      </c>
      <c r="O28" s="153">
        <v>0</v>
      </c>
      <c r="P28" s="264">
        <v>0</v>
      </c>
      <c r="Q28" s="154">
        <v>0</v>
      </c>
      <c r="R28" s="154">
        <v>0</v>
      </c>
      <c r="S28" s="153">
        <f>500000*M28</f>
        <v>300000</v>
      </c>
      <c r="T28" s="153">
        <f>4506000*M28-2703600</f>
        <v>0</v>
      </c>
      <c r="U28" s="154">
        <v>0</v>
      </c>
      <c r="V28" s="154">
        <v>0</v>
      </c>
      <c r="W28" s="154">
        <v>0</v>
      </c>
      <c r="X28" s="233">
        <v>0</v>
      </c>
      <c r="Y28" s="233">
        <v>0</v>
      </c>
      <c r="Z28" s="1" t="b">
        <f t="shared" si="4"/>
        <v>1</v>
      </c>
      <c r="AA28" s="43">
        <f t="shared" si="2"/>
        <v>5.9900000000000002E-2</v>
      </c>
      <c r="AB28" s="44" t="b">
        <f t="shared" si="3"/>
        <v>0</v>
      </c>
      <c r="AC28" s="44" t="b">
        <f t="shared" si="5"/>
        <v>1</v>
      </c>
      <c r="AD28" s="2"/>
    </row>
    <row r="29" spans="1:35" s="45" customFormat="1" ht="36.75" customHeight="1" x14ac:dyDescent="0.25">
      <c r="A29" s="293" t="s">
        <v>545</v>
      </c>
      <c r="B29" s="144">
        <v>184</v>
      </c>
      <c r="C29" s="144" t="s">
        <v>79</v>
      </c>
      <c r="D29" s="144" t="s">
        <v>50</v>
      </c>
      <c r="E29" s="144">
        <v>2002</v>
      </c>
      <c r="F29" s="160" t="s">
        <v>134</v>
      </c>
      <c r="G29" s="147" t="s">
        <v>85</v>
      </c>
      <c r="H29" s="148">
        <v>0.56499999999999995</v>
      </c>
      <c r="I29" s="149" t="s">
        <v>126</v>
      </c>
      <c r="J29" s="150">
        <v>3540500</v>
      </c>
      <c r="K29" s="151">
        <f>ROUNDDOWN(J29*M29,2)-1080000</f>
        <v>1044300</v>
      </c>
      <c r="L29" s="57">
        <f t="shared" si="7"/>
        <v>2496200</v>
      </c>
      <c r="M29" s="152">
        <v>0.6</v>
      </c>
      <c r="N29" s="153">
        <v>0</v>
      </c>
      <c r="O29" s="153">
        <v>0</v>
      </c>
      <c r="P29" s="264">
        <v>0</v>
      </c>
      <c r="Q29" s="154">
        <v>0</v>
      </c>
      <c r="R29" s="154">
        <v>0</v>
      </c>
      <c r="S29" s="154">
        <f>20000*M29</f>
        <v>12000</v>
      </c>
      <c r="T29" s="153">
        <f>(1800000*M29)-1080000</f>
        <v>0</v>
      </c>
      <c r="U29" s="153">
        <f>1720500*M29</f>
        <v>1032300</v>
      </c>
      <c r="V29" s="154">
        <v>0</v>
      </c>
      <c r="W29" s="233">
        <v>0</v>
      </c>
      <c r="X29" s="233">
        <v>0</v>
      </c>
      <c r="Y29" s="233">
        <v>0</v>
      </c>
      <c r="Z29" s="1" t="b">
        <f t="shared" si="4"/>
        <v>1</v>
      </c>
      <c r="AA29" s="43">
        <f t="shared" si="2"/>
        <v>0.29499999999999998</v>
      </c>
      <c r="AB29" s="44" t="b">
        <f t="shared" si="3"/>
        <v>0</v>
      </c>
      <c r="AC29" s="44" t="b">
        <f t="shared" si="5"/>
        <v>1</v>
      </c>
      <c r="AD29" s="170"/>
      <c r="AE29" s="169"/>
      <c r="AF29" s="169"/>
      <c r="AG29" s="169"/>
      <c r="AH29" s="169"/>
      <c r="AI29" s="169"/>
    </row>
    <row r="30" spans="1:35" s="45" customFormat="1" ht="36.75" customHeight="1" x14ac:dyDescent="0.25">
      <c r="A30" s="294" t="s">
        <v>546</v>
      </c>
      <c r="B30" s="144">
        <v>82</v>
      </c>
      <c r="C30" s="144" t="s">
        <v>79</v>
      </c>
      <c r="D30" s="144" t="s">
        <v>55</v>
      </c>
      <c r="E30" s="144">
        <v>2007</v>
      </c>
      <c r="F30" s="160" t="s">
        <v>135</v>
      </c>
      <c r="G30" s="147" t="s">
        <v>83</v>
      </c>
      <c r="H30" s="148">
        <v>0.31</v>
      </c>
      <c r="I30" s="144" t="s">
        <v>132</v>
      </c>
      <c r="J30" s="150">
        <v>2506000</v>
      </c>
      <c r="K30" s="151">
        <f>ROUNDDOWN(J30*M30,2)-1203600</f>
        <v>300000</v>
      </c>
      <c r="L30" s="57">
        <f t="shared" si="7"/>
        <v>2206000</v>
      </c>
      <c r="M30" s="152">
        <v>0.6</v>
      </c>
      <c r="N30" s="153">
        <v>0</v>
      </c>
      <c r="O30" s="153">
        <v>0</v>
      </c>
      <c r="P30" s="264">
        <v>0</v>
      </c>
      <c r="Q30" s="154">
        <v>0</v>
      </c>
      <c r="R30" s="154">
        <v>0</v>
      </c>
      <c r="S30" s="153">
        <f>500000*M30</f>
        <v>300000</v>
      </c>
      <c r="T30" s="153">
        <f>(2006000*M30)-1203600</f>
        <v>0</v>
      </c>
      <c r="U30" s="233">
        <v>0</v>
      </c>
      <c r="V30" s="233">
        <v>0</v>
      </c>
      <c r="W30" s="233">
        <v>0</v>
      </c>
      <c r="X30" s="233">
        <v>0</v>
      </c>
      <c r="Y30" s="233">
        <v>0</v>
      </c>
      <c r="Z30" s="1" t="b">
        <f t="shared" si="4"/>
        <v>1</v>
      </c>
      <c r="AA30" s="43">
        <f t="shared" si="2"/>
        <v>0.1197</v>
      </c>
      <c r="AB30" s="44" t="b">
        <f t="shared" si="3"/>
        <v>0</v>
      </c>
      <c r="AC30" s="44" t="b">
        <f t="shared" si="5"/>
        <v>1</v>
      </c>
      <c r="AD30" s="169"/>
      <c r="AE30" s="169"/>
      <c r="AF30" s="169"/>
      <c r="AG30" s="169"/>
      <c r="AH30" s="169"/>
      <c r="AI30" s="169"/>
    </row>
    <row r="31" spans="1:35" s="173" customFormat="1" ht="36.75" customHeight="1" x14ac:dyDescent="0.25">
      <c r="A31" s="144">
        <v>29</v>
      </c>
      <c r="B31" s="144">
        <v>201</v>
      </c>
      <c r="C31" s="144" t="s">
        <v>79</v>
      </c>
      <c r="D31" s="144" t="s">
        <v>106</v>
      </c>
      <c r="E31" s="144">
        <v>2002</v>
      </c>
      <c r="F31" s="160" t="s">
        <v>136</v>
      </c>
      <c r="G31" s="147" t="s">
        <v>85</v>
      </c>
      <c r="H31" s="148">
        <v>0.17399999999999999</v>
      </c>
      <c r="I31" s="149" t="s">
        <v>137</v>
      </c>
      <c r="J31" s="150">
        <v>11040024.74</v>
      </c>
      <c r="K31" s="151">
        <f>ROUNDDOWN(J31*M31,2)</f>
        <v>6624014.8399999999</v>
      </c>
      <c r="L31" s="57">
        <f>J31-K31</f>
        <v>4416009.9000000004</v>
      </c>
      <c r="M31" s="152">
        <v>0.6</v>
      </c>
      <c r="N31" s="153">
        <v>0</v>
      </c>
      <c r="O31" s="153">
        <v>0</v>
      </c>
      <c r="P31" s="264">
        <v>0</v>
      </c>
      <c r="Q31" s="154">
        <v>0</v>
      </c>
      <c r="R31" s="154">
        <v>0</v>
      </c>
      <c r="S31" s="153">
        <v>6555.83</v>
      </c>
      <c r="T31" s="153">
        <v>0</v>
      </c>
      <c r="U31" s="153">
        <v>6617459.0099999998</v>
      </c>
      <c r="V31" s="154">
        <v>0</v>
      </c>
      <c r="W31" s="233">
        <v>0</v>
      </c>
      <c r="X31" s="233">
        <v>0</v>
      </c>
      <c r="Y31" s="233">
        <v>0</v>
      </c>
      <c r="Z31" s="1" t="b">
        <f t="shared" si="4"/>
        <v>1</v>
      </c>
      <c r="AA31" s="43">
        <f t="shared" si="2"/>
        <v>0.6</v>
      </c>
      <c r="AB31" s="44" t="b">
        <f t="shared" si="3"/>
        <v>1</v>
      </c>
      <c r="AC31" s="44" t="b">
        <f t="shared" si="5"/>
        <v>1</v>
      </c>
      <c r="AD31" s="172"/>
      <c r="AE31" s="172"/>
      <c r="AF31" s="172"/>
      <c r="AG31" s="172"/>
      <c r="AH31" s="172"/>
      <c r="AI31" s="172"/>
    </row>
    <row r="32" spans="1:35" s="175" customFormat="1" ht="36.75" customHeight="1" x14ac:dyDescent="0.25">
      <c r="A32" s="144">
        <v>30</v>
      </c>
      <c r="B32" s="144">
        <v>247</v>
      </c>
      <c r="C32" s="144" t="s">
        <v>79</v>
      </c>
      <c r="D32" s="144" t="s">
        <v>86</v>
      </c>
      <c r="E32" s="144">
        <v>2011</v>
      </c>
      <c r="F32" s="160" t="s">
        <v>138</v>
      </c>
      <c r="G32" s="147" t="s">
        <v>85</v>
      </c>
      <c r="H32" s="148">
        <v>1.33</v>
      </c>
      <c r="I32" s="149" t="s">
        <v>139</v>
      </c>
      <c r="J32" s="57">
        <v>9648300</v>
      </c>
      <c r="K32" s="151">
        <f t="shared" ref="K32" si="8">ROUNDDOWN(J32*M32,2)</f>
        <v>5788980</v>
      </c>
      <c r="L32" s="57">
        <f t="shared" ref="L32:L33" si="9">J32-K32</f>
        <v>3859320</v>
      </c>
      <c r="M32" s="152">
        <v>0.6</v>
      </c>
      <c r="N32" s="153">
        <v>0</v>
      </c>
      <c r="O32" s="153">
        <v>0</v>
      </c>
      <c r="P32" s="154">
        <v>0</v>
      </c>
      <c r="Q32" s="154">
        <v>0</v>
      </c>
      <c r="R32" s="153">
        <v>0</v>
      </c>
      <c r="S32" s="154">
        <f>K32</f>
        <v>5788980</v>
      </c>
      <c r="T32" s="153">
        <v>0</v>
      </c>
      <c r="U32" s="154">
        <v>0</v>
      </c>
      <c r="V32" s="154">
        <v>0</v>
      </c>
      <c r="W32" s="154">
        <v>0</v>
      </c>
      <c r="X32" s="233">
        <v>0</v>
      </c>
      <c r="Y32" s="233">
        <v>0</v>
      </c>
      <c r="Z32" s="1" t="b">
        <f t="shared" si="4"/>
        <v>1</v>
      </c>
      <c r="AA32" s="43">
        <f t="shared" si="2"/>
        <v>0.6</v>
      </c>
      <c r="AB32" s="44" t="b">
        <f t="shared" si="3"/>
        <v>1</v>
      </c>
      <c r="AC32" s="44" t="b">
        <f t="shared" si="5"/>
        <v>1</v>
      </c>
      <c r="AD32" s="174"/>
      <c r="AE32" s="174"/>
      <c r="AF32" s="174"/>
      <c r="AG32" s="174"/>
      <c r="AH32" s="174"/>
      <c r="AI32" s="174"/>
    </row>
    <row r="33" spans="1:35" s="175" customFormat="1" ht="36.75" customHeight="1" x14ac:dyDescent="0.25">
      <c r="A33" s="293" t="s">
        <v>541</v>
      </c>
      <c r="B33" s="144">
        <v>189</v>
      </c>
      <c r="C33" s="144" t="s">
        <v>79</v>
      </c>
      <c r="D33" s="144" t="s">
        <v>50</v>
      </c>
      <c r="E33" s="144">
        <v>2002</v>
      </c>
      <c r="F33" s="160" t="s">
        <v>140</v>
      </c>
      <c r="G33" s="147" t="s">
        <v>85</v>
      </c>
      <c r="H33" s="148">
        <v>2.3410000000000002</v>
      </c>
      <c r="I33" s="149" t="s">
        <v>126</v>
      </c>
      <c r="J33" s="281">
        <v>20205500</v>
      </c>
      <c r="K33" s="151">
        <f>ROUNDDOWN(J33*M33,2)-6000000</f>
        <v>6123300</v>
      </c>
      <c r="L33" s="57">
        <f t="shared" si="9"/>
        <v>14082200</v>
      </c>
      <c r="M33" s="152">
        <v>0.6</v>
      </c>
      <c r="N33" s="153">
        <v>0</v>
      </c>
      <c r="O33" s="153">
        <v>0</v>
      </c>
      <c r="P33" s="154">
        <v>0</v>
      </c>
      <c r="Q33" s="154">
        <v>0</v>
      </c>
      <c r="R33" s="153">
        <v>0</v>
      </c>
      <c r="S33" s="154">
        <f>20000*M33</f>
        <v>12000</v>
      </c>
      <c r="T33" s="153">
        <f>(10000000*M33)-6000000</f>
        <v>0</v>
      </c>
      <c r="U33" s="153">
        <f>10185500*M33</f>
        <v>6111300</v>
      </c>
      <c r="V33" s="233">
        <v>0</v>
      </c>
      <c r="W33" s="233">
        <v>0</v>
      </c>
      <c r="X33" s="233">
        <v>0</v>
      </c>
      <c r="Y33" s="233">
        <v>0</v>
      </c>
      <c r="Z33" s="1" t="b">
        <f t="shared" si="4"/>
        <v>1</v>
      </c>
      <c r="AA33" s="43">
        <f t="shared" si="2"/>
        <v>0.30309999999999998</v>
      </c>
      <c r="AB33" s="44" t="b">
        <f t="shared" si="3"/>
        <v>0</v>
      </c>
      <c r="AC33" s="44" t="b">
        <f t="shared" si="5"/>
        <v>1</v>
      </c>
      <c r="AD33" s="174"/>
      <c r="AE33" s="174"/>
      <c r="AF33" s="174"/>
      <c r="AG33" s="174"/>
      <c r="AH33" s="174"/>
      <c r="AI33" s="174"/>
    </row>
    <row r="34" spans="1:35" s="175" customFormat="1" ht="36.75" customHeight="1" x14ac:dyDescent="0.25">
      <c r="A34" s="293" t="s">
        <v>542</v>
      </c>
      <c r="B34" s="144">
        <v>264</v>
      </c>
      <c r="C34" s="144" t="s">
        <v>79</v>
      </c>
      <c r="D34" s="144" t="s">
        <v>141</v>
      </c>
      <c r="E34" s="144">
        <v>2003</v>
      </c>
      <c r="F34" s="160" t="s">
        <v>142</v>
      </c>
      <c r="G34" s="147" t="s">
        <v>85</v>
      </c>
      <c r="H34" s="148">
        <v>2.2450000000000001</v>
      </c>
      <c r="I34" s="149" t="s">
        <v>143</v>
      </c>
      <c r="J34" s="281">
        <v>5545355</v>
      </c>
      <c r="K34" s="151">
        <f>ROUNDDOWN(J34*M34,2)-1109071.06</f>
        <v>2218141.94</v>
      </c>
      <c r="L34" s="57">
        <f>J34-K34</f>
        <v>3327213.06</v>
      </c>
      <c r="M34" s="152">
        <v>0.6</v>
      </c>
      <c r="N34" s="153">
        <v>0</v>
      </c>
      <c r="O34" s="153">
        <v>0</v>
      </c>
      <c r="P34" s="154">
        <v>0</v>
      </c>
      <c r="Q34" s="154">
        <v>0</v>
      </c>
      <c r="R34" s="153">
        <v>0</v>
      </c>
      <c r="S34" s="154">
        <v>1109070.97</v>
      </c>
      <c r="T34" s="154">
        <f>(3327213-S34-U34)-1109071.06</f>
        <v>0</v>
      </c>
      <c r="U34" s="154">
        <v>1109070.97</v>
      </c>
      <c r="V34" s="154">
        <v>0</v>
      </c>
      <c r="W34" s="154">
        <v>0</v>
      </c>
      <c r="X34" s="233">
        <v>0</v>
      </c>
      <c r="Y34" s="233">
        <v>0</v>
      </c>
      <c r="Z34" s="1" t="b">
        <f t="shared" si="4"/>
        <v>1</v>
      </c>
      <c r="AA34" s="43">
        <f t="shared" si="2"/>
        <v>0.4</v>
      </c>
      <c r="AB34" s="44" t="b">
        <f t="shared" si="3"/>
        <v>0</v>
      </c>
      <c r="AC34" s="44" t="b">
        <f t="shared" si="5"/>
        <v>1</v>
      </c>
      <c r="AD34" s="174"/>
      <c r="AE34" s="174"/>
      <c r="AF34" s="174"/>
      <c r="AG34" s="174"/>
      <c r="AH34" s="174"/>
      <c r="AI34" s="174"/>
    </row>
    <row r="35" spans="1:35" ht="36.75" customHeight="1" x14ac:dyDescent="0.25">
      <c r="A35" s="195">
        <v>33</v>
      </c>
      <c r="B35" s="182">
        <v>376</v>
      </c>
      <c r="C35" s="142" t="s">
        <v>299</v>
      </c>
      <c r="D35" s="182" t="s">
        <v>52</v>
      </c>
      <c r="E35" s="182">
        <v>2004</v>
      </c>
      <c r="F35" s="183" t="s">
        <v>210</v>
      </c>
      <c r="G35" s="184" t="s">
        <v>83</v>
      </c>
      <c r="H35" s="185">
        <v>2.6</v>
      </c>
      <c r="I35" s="182" t="s">
        <v>211</v>
      </c>
      <c r="J35" s="191">
        <v>7643000</v>
      </c>
      <c r="K35" s="191">
        <f t="shared" ref="K35:K59" si="10">ROUNDDOWN(J35*M35,2)</f>
        <v>3821500</v>
      </c>
      <c r="L35" s="191">
        <f t="shared" ref="L35:L60" si="11">J35-K35</f>
        <v>3821500</v>
      </c>
      <c r="M35" s="186">
        <v>0.5</v>
      </c>
      <c r="N35" s="234">
        <v>0</v>
      </c>
      <c r="O35" s="234">
        <v>0</v>
      </c>
      <c r="P35" s="234">
        <v>0</v>
      </c>
      <c r="Q35" s="234">
        <v>0</v>
      </c>
      <c r="R35" s="234">
        <v>0</v>
      </c>
      <c r="S35" s="234">
        <v>0</v>
      </c>
      <c r="T35" s="235">
        <f>K35</f>
        <v>3821500</v>
      </c>
      <c r="U35" s="235">
        <v>0</v>
      </c>
      <c r="V35" s="235">
        <v>0</v>
      </c>
      <c r="W35" s="235">
        <v>0</v>
      </c>
      <c r="X35" s="235">
        <v>0</v>
      </c>
      <c r="Y35" s="234">
        <v>0</v>
      </c>
      <c r="Z35" s="1" t="b">
        <f t="shared" si="4"/>
        <v>1</v>
      </c>
      <c r="AA35" s="43">
        <f t="shared" si="2"/>
        <v>0.5</v>
      </c>
      <c r="AB35" s="44" t="b">
        <f t="shared" si="3"/>
        <v>1</v>
      </c>
      <c r="AC35" s="44" t="b">
        <f t="shared" si="5"/>
        <v>1</v>
      </c>
    </row>
    <row r="36" spans="1:35" ht="36.75" customHeight="1" x14ac:dyDescent="0.25">
      <c r="A36" s="195">
        <v>34</v>
      </c>
      <c r="B36" s="182">
        <v>117</v>
      </c>
      <c r="C36" s="182" t="s">
        <v>299</v>
      </c>
      <c r="D36" s="182" t="s">
        <v>50</v>
      </c>
      <c r="E36" s="182">
        <v>2002</v>
      </c>
      <c r="F36" s="183" t="s">
        <v>212</v>
      </c>
      <c r="G36" s="182" t="s">
        <v>85</v>
      </c>
      <c r="H36" s="187">
        <v>1.663</v>
      </c>
      <c r="I36" s="182" t="s">
        <v>213</v>
      </c>
      <c r="J36" s="188">
        <v>12124000</v>
      </c>
      <c r="K36" s="191">
        <f t="shared" si="10"/>
        <v>6062000</v>
      </c>
      <c r="L36" s="191">
        <f t="shared" si="11"/>
        <v>6062000</v>
      </c>
      <c r="M36" s="186">
        <v>0.5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f>K36</f>
        <v>6062000</v>
      </c>
      <c r="U36" s="235">
        <v>0</v>
      </c>
      <c r="V36" s="235">
        <v>0</v>
      </c>
      <c r="W36" s="235">
        <v>0</v>
      </c>
      <c r="X36" s="235">
        <v>0</v>
      </c>
      <c r="Y36" s="234">
        <v>0</v>
      </c>
      <c r="Z36" s="1" t="b">
        <f t="shared" si="4"/>
        <v>1</v>
      </c>
      <c r="AA36" s="43">
        <f t="shared" si="2"/>
        <v>0.5</v>
      </c>
      <c r="AB36" s="44" t="b">
        <f t="shared" si="3"/>
        <v>1</v>
      </c>
      <c r="AC36" s="44" t="b">
        <f t="shared" si="5"/>
        <v>1</v>
      </c>
    </row>
    <row r="37" spans="1:35" ht="36.75" customHeight="1" x14ac:dyDescent="0.25">
      <c r="A37" s="155">
        <v>35</v>
      </c>
      <c r="B37" s="179">
        <v>99</v>
      </c>
      <c r="C37" s="179" t="s">
        <v>300</v>
      </c>
      <c r="D37" s="179" t="s">
        <v>50</v>
      </c>
      <c r="E37" s="179">
        <v>2002</v>
      </c>
      <c r="F37" s="190" t="s">
        <v>214</v>
      </c>
      <c r="G37" s="179" t="s">
        <v>85</v>
      </c>
      <c r="H37" s="148">
        <v>7.1180000000000003</v>
      </c>
      <c r="I37" s="179" t="s">
        <v>215</v>
      </c>
      <c r="J37" s="57">
        <v>18689000</v>
      </c>
      <c r="K37" s="151">
        <f t="shared" si="10"/>
        <v>9344500</v>
      </c>
      <c r="L37" s="151">
        <f t="shared" si="11"/>
        <v>9344500</v>
      </c>
      <c r="M37" s="152">
        <v>0.5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12500</v>
      </c>
      <c r="U37" s="233">
        <v>12500</v>
      </c>
      <c r="V37" s="233">
        <v>9319500</v>
      </c>
      <c r="W37" s="233">
        <v>0</v>
      </c>
      <c r="X37" s="233">
        <v>0</v>
      </c>
      <c r="Y37" s="232">
        <v>0</v>
      </c>
      <c r="Z37" s="1" t="b">
        <f t="shared" si="4"/>
        <v>1</v>
      </c>
      <c r="AA37" s="43">
        <f t="shared" si="2"/>
        <v>0.5</v>
      </c>
      <c r="AB37" s="44" t="b">
        <f t="shared" si="3"/>
        <v>1</v>
      </c>
      <c r="AC37" s="44" t="b">
        <f t="shared" si="5"/>
        <v>1</v>
      </c>
    </row>
    <row r="38" spans="1:35" ht="36.75" customHeight="1" x14ac:dyDescent="0.25">
      <c r="A38" s="155">
        <v>36</v>
      </c>
      <c r="B38" s="179">
        <v>184</v>
      </c>
      <c r="C38" s="179" t="s">
        <v>300</v>
      </c>
      <c r="D38" s="179" t="s">
        <v>61</v>
      </c>
      <c r="E38" s="179">
        <v>2013</v>
      </c>
      <c r="F38" s="190" t="s">
        <v>216</v>
      </c>
      <c r="G38" s="179" t="s">
        <v>87</v>
      </c>
      <c r="H38" s="148">
        <v>3.6549999999999998</v>
      </c>
      <c r="I38" s="179" t="s">
        <v>217</v>
      </c>
      <c r="J38" s="57">
        <v>5664133</v>
      </c>
      <c r="K38" s="151">
        <f t="shared" si="10"/>
        <v>2832066.5</v>
      </c>
      <c r="L38" s="151">
        <f t="shared" si="11"/>
        <v>2832066.5</v>
      </c>
      <c r="M38" s="152">
        <v>0.5</v>
      </c>
      <c r="N38" s="233">
        <v>0</v>
      </c>
      <c r="O38" s="233">
        <v>0</v>
      </c>
      <c r="P38" s="233">
        <v>0</v>
      </c>
      <c r="Q38" s="233">
        <v>0</v>
      </c>
      <c r="R38" s="233">
        <v>0</v>
      </c>
      <c r="S38" s="233">
        <v>0</v>
      </c>
      <c r="T38" s="233">
        <v>502000</v>
      </c>
      <c r="U38" s="233">
        <v>10000</v>
      </c>
      <c r="V38" s="233">
        <v>1500000</v>
      </c>
      <c r="W38" s="233">
        <v>820066.5</v>
      </c>
      <c r="X38" s="233">
        <v>0</v>
      </c>
      <c r="Y38" s="232">
        <v>0</v>
      </c>
      <c r="Z38" s="1" t="b">
        <f t="shared" si="4"/>
        <v>1</v>
      </c>
      <c r="AA38" s="43">
        <f t="shared" si="2"/>
        <v>0.5</v>
      </c>
      <c r="AB38" s="44" t="b">
        <f t="shared" si="3"/>
        <v>1</v>
      </c>
      <c r="AC38" s="44" t="b">
        <f t="shared" si="5"/>
        <v>1</v>
      </c>
    </row>
    <row r="39" spans="1:35" ht="36.75" customHeight="1" x14ac:dyDescent="0.25">
      <c r="A39" s="195">
        <v>37</v>
      </c>
      <c r="B39" s="182">
        <v>115</v>
      </c>
      <c r="C39" s="1" t="s">
        <v>299</v>
      </c>
      <c r="D39" s="182" t="s">
        <v>50</v>
      </c>
      <c r="E39" s="182">
        <v>2002</v>
      </c>
      <c r="F39" s="183" t="s">
        <v>297</v>
      </c>
      <c r="G39" s="182" t="s">
        <v>85</v>
      </c>
      <c r="H39" s="187">
        <v>0.27600000000000002</v>
      </c>
      <c r="I39" s="182" t="s">
        <v>213</v>
      </c>
      <c r="J39" s="188">
        <v>5054000</v>
      </c>
      <c r="K39" s="181">
        <f>ROUNDDOWN(J39*M39,2)</f>
        <v>2527000</v>
      </c>
      <c r="L39" s="181">
        <f>J39-K39</f>
        <v>2527000</v>
      </c>
      <c r="M39" s="186">
        <v>0.5</v>
      </c>
      <c r="N39" s="235">
        <v>0</v>
      </c>
      <c r="O39" s="235">
        <v>0</v>
      </c>
      <c r="P39" s="235">
        <v>0</v>
      </c>
      <c r="Q39" s="235">
        <v>0</v>
      </c>
      <c r="R39" s="235">
        <v>0</v>
      </c>
      <c r="S39" s="235">
        <v>0</v>
      </c>
      <c r="T39" s="235">
        <f>K39</f>
        <v>2527000</v>
      </c>
      <c r="U39" s="235">
        <v>0</v>
      </c>
      <c r="V39" s="235">
        <v>0</v>
      </c>
      <c r="W39" s="235">
        <v>0</v>
      </c>
      <c r="X39" s="235">
        <v>0</v>
      </c>
      <c r="Y39" s="36"/>
      <c r="Z39" s="1" t="b">
        <f t="shared" si="4"/>
        <v>1</v>
      </c>
      <c r="AA39" s="43">
        <f t="shared" si="2"/>
        <v>0.5</v>
      </c>
      <c r="AB39" s="44" t="b">
        <f t="shared" si="3"/>
        <v>1</v>
      </c>
      <c r="AC39" s="44" t="b">
        <f t="shared" si="5"/>
        <v>1</v>
      </c>
    </row>
    <row r="40" spans="1:35" ht="36.75" customHeight="1" x14ac:dyDescent="0.25">
      <c r="A40" s="195">
        <v>38</v>
      </c>
      <c r="B40" s="182">
        <v>105</v>
      </c>
      <c r="C40" s="182" t="s">
        <v>299</v>
      </c>
      <c r="D40" s="182" t="s">
        <v>50</v>
      </c>
      <c r="E40" s="182">
        <v>2002</v>
      </c>
      <c r="F40" s="183" t="s">
        <v>219</v>
      </c>
      <c r="G40" s="182" t="s">
        <v>83</v>
      </c>
      <c r="H40" s="187">
        <v>5.6000000000000001E-2</v>
      </c>
      <c r="I40" s="182" t="s">
        <v>213</v>
      </c>
      <c r="J40" s="188">
        <v>1504000</v>
      </c>
      <c r="K40" s="191">
        <f t="shared" si="10"/>
        <v>752000</v>
      </c>
      <c r="L40" s="191">
        <f t="shared" si="11"/>
        <v>752000</v>
      </c>
      <c r="M40" s="186">
        <v>0.5</v>
      </c>
      <c r="N40" s="235">
        <v>0</v>
      </c>
      <c r="O40" s="235">
        <v>0</v>
      </c>
      <c r="P40" s="235">
        <v>0</v>
      </c>
      <c r="Q40" s="235">
        <v>0</v>
      </c>
      <c r="R40" s="235">
        <v>0</v>
      </c>
      <c r="S40" s="235">
        <v>0</v>
      </c>
      <c r="T40" s="235">
        <f>K40</f>
        <v>752000</v>
      </c>
      <c r="U40" s="235">
        <v>0</v>
      </c>
      <c r="V40" s="235">
        <v>0</v>
      </c>
      <c r="W40" s="235">
        <v>0</v>
      </c>
      <c r="X40" s="235">
        <v>0</v>
      </c>
      <c r="Y40" s="234">
        <v>0</v>
      </c>
      <c r="Z40" s="1" t="b">
        <f t="shared" si="4"/>
        <v>1</v>
      </c>
      <c r="AA40" s="43">
        <f t="shared" si="2"/>
        <v>0.5</v>
      </c>
      <c r="AB40" s="44" t="b">
        <f t="shared" si="3"/>
        <v>1</v>
      </c>
      <c r="AC40" s="44" t="b">
        <f t="shared" si="5"/>
        <v>1</v>
      </c>
    </row>
    <row r="41" spans="1:35" ht="36.75" customHeight="1" x14ac:dyDescent="0.25">
      <c r="A41" s="195">
        <v>39</v>
      </c>
      <c r="B41" s="182">
        <v>88</v>
      </c>
      <c r="C41" s="182" t="s">
        <v>299</v>
      </c>
      <c r="D41" s="182" t="s">
        <v>54</v>
      </c>
      <c r="E41" s="182">
        <v>2006</v>
      </c>
      <c r="F41" s="183" t="s">
        <v>220</v>
      </c>
      <c r="G41" s="182" t="s">
        <v>85</v>
      </c>
      <c r="H41" s="187">
        <v>3.8650000000000002</v>
      </c>
      <c r="I41" s="182" t="s">
        <v>221</v>
      </c>
      <c r="J41" s="188">
        <v>16915980</v>
      </c>
      <c r="K41" s="191">
        <f t="shared" si="10"/>
        <v>8457990</v>
      </c>
      <c r="L41" s="191">
        <f t="shared" si="11"/>
        <v>8457990</v>
      </c>
      <c r="M41" s="186">
        <v>0.5</v>
      </c>
      <c r="N41" s="235">
        <v>0</v>
      </c>
      <c r="O41" s="235">
        <v>0</v>
      </c>
      <c r="P41" s="235">
        <v>0</v>
      </c>
      <c r="Q41" s="235">
        <v>0</v>
      </c>
      <c r="R41" s="235">
        <v>0</v>
      </c>
      <c r="S41" s="235">
        <v>0</v>
      </c>
      <c r="T41" s="235">
        <f>K41</f>
        <v>8457990</v>
      </c>
      <c r="U41" s="235">
        <v>0</v>
      </c>
      <c r="V41" s="235">
        <v>0</v>
      </c>
      <c r="W41" s="235">
        <v>0</v>
      </c>
      <c r="X41" s="235">
        <v>0</v>
      </c>
      <c r="Y41" s="234">
        <v>0</v>
      </c>
      <c r="Z41" s="1" t="b">
        <f t="shared" si="4"/>
        <v>1</v>
      </c>
      <c r="AA41" s="43">
        <f t="shared" si="2"/>
        <v>0.5</v>
      </c>
      <c r="AB41" s="44" t="b">
        <f t="shared" si="3"/>
        <v>1</v>
      </c>
      <c r="AC41" s="44" t="b">
        <f t="shared" si="5"/>
        <v>1</v>
      </c>
    </row>
    <row r="42" spans="1:35" ht="36.75" customHeight="1" x14ac:dyDescent="0.25">
      <c r="A42" s="195">
        <v>40</v>
      </c>
      <c r="B42" s="182">
        <v>205</v>
      </c>
      <c r="C42" s="182" t="s">
        <v>299</v>
      </c>
      <c r="D42" s="182" t="s">
        <v>222</v>
      </c>
      <c r="E42" s="182">
        <v>2013042</v>
      </c>
      <c r="F42" s="183" t="s">
        <v>223</v>
      </c>
      <c r="G42" s="182" t="s">
        <v>87</v>
      </c>
      <c r="H42" s="187">
        <v>3.83</v>
      </c>
      <c r="I42" s="182" t="s">
        <v>224</v>
      </c>
      <c r="J42" s="188">
        <v>5933138</v>
      </c>
      <c r="K42" s="191">
        <f t="shared" si="10"/>
        <v>2966569</v>
      </c>
      <c r="L42" s="191">
        <f t="shared" si="11"/>
        <v>2966569</v>
      </c>
      <c r="M42" s="186">
        <v>0.5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f>K42</f>
        <v>2966569</v>
      </c>
      <c r="U42" s="235">
        <v>0</v>
      </c>
      <c r="V42" s="235">
        <v>0</v>
      </c>
      <c r="W42" s="235">
        <v>0</v>
      </c>
      <c r="X42" s="235">
        <v>0</v>
      </c>
      <c r="Y42" s="234">
        <v>0</v>
      </c>
      <c r="Z42" s="1" t="b">
        <f t="shared" si="4"/>
        <v>1</v>
      </c>
      <c r="AA42" s="43">
        <f t="shared" si="2"/>
        <v>0.5</v>
      </c>
      <c r="AB42" s="44" t="b">
        <f t="shared" si="3"/>
        <v>1</v>
      </c>
      <c r="AC42" s="44" t="b">
        <f t="shared" si="5"/>
        <v>1</v>
      </c>
    </row>
    <row r="43" spans="1:35" ht="46.5" customHeight="1" x14ac:dyDescent="0.25">
      <c r="A43" s="155">
        <v>41</v>
      </c>
      <c r="B43" s="179">
        <v>307</v>
      </c>
      <c r="C43" s="179" t="s">
        <v>300</v>
      </c>
      <c r="D43" s="179" t="s">
        <v>51</v>
      </c>
      <c r="E43" s="179">
        <v>2008</v>
      </c>
      <c r="F43" s="190" t="s">
        <v>225</v>
      </c>
      <c r="G43" s="179" t="s">
        <v>83</v>
      </c>
      <c r="H43" s="148">
        <v>3.0350000000000001</v>
      </c>
      <c r="I43" s="179" t="s">
        <v>226</v>
      </c>
      <c r="J43" s="151">
        <v>10254126.140000001</v>
      </c>
      <c r="K43" s="151">
        <f t="shared" si="10"/>
        <v>5127063.07</v>
      </c>
      <c r="L43" s="151">
        <f t="shared" si="11"/>
        <v>5127063.07</v>
      </c>
      <c r="M43" s="152">
        <v>0.5</v>
      </c>
      <c r="N43" s="232">
        <v>0</v>
      </c>
      <c r="O43" s="232">
        <v>0</v>
      </c>
      <c r="P43" s="232">
        <v>0</v>
      </c>
      <c r="Q43" s="232">
        <v>0</v>
      </c>
      <c r="R43" s="233">
        <v>0</v>
      </c>
      <c r="S43" s="233">
        <v>0</v>
      </c>
      <c r="T43" s="233">
        <v>1711271.07</v>
      </c>
      <c r="U43" s="233">
        <v>1706271</v>
      </c>
      <c r="V43" s="233">
        <v>1709521</v>
      </c>
      <c r="W43" s="233">
        <v>0</v>
      </c>
      <c r="X43" s="233">
        <v>0</v>
      </c>
      <c r="Y43" s="232">
        <v>0</v>
      </c>
      <c r="Z43" s="1" t="b">
        <f t="shared" si="4"/>
        <v>1</v>
      </c>
      <c r="AA43" s="43">
        <f t="shared" si="2"/>
        <v>0.5</v>
      </c>
      <c r="AB43" s="44" t="b">
        <f t="shared" si="3"/>
        <v>1</v>
      </c>
      <c r="AC43" s="44" t="b">
        <f t="shared" si="5"/>
        <v>1</v>
      </c>
    </row>
    <row r="44" spans="1:35" ht="36.75" customHeight="1" x14ac:dyDescent="0.25">
      <c r="A44" s="195">
        <v>42</v>
      </c>
      <c r="B44" s="182">
        <v>31</v>
      </c>
      <c r="C44" s="182" t="s">
        <v>299</v>
      </c>
      <c r="D44" s="182" t="s">
        <v>56</v>
      </c>
      <c r="E44" s="182">
        <v>2008</v>
      </c>
      <c r="F44" s="183" t="s">
        <v>227</v>
      </c>
      <c r="G44" s="182" t="s">
        <v>85</v>
      </c>
      <c r="H44" s="185">
        <v>2.8</v>
      </c>
      <c r="I44" s="182" t="s">
        <v>228</v>
      </c>
      <c r="J44" s="238">
        <v>6503500</v>
      </c>
      <c r="K44" s="191">
        <f t="shared" si="10"/>
        <v>3251750</v>
      </c>
      <c r="L44" s="191">
        <f t="shared" si="11"/>
        <v>3251750</v>
      </c>
      <c r="M44" s="186">
        <v>0.5</v>
      </c>
      <c r="N44" s="236">
        <v>0</v>
      </c>
      <c r="O44" s="236">
        <v>0</v>
      </c>
      <c r="P44" s="236">
        <v>0</v>
      </c>
      <c r="Q44" s="236">
        <v>0</v>
      </c>
      <c r="R44" s="235">
        <v>0</v>
      </c>
      <c r="S44" s="237">
        <v>0</v>
      </c>
      <c r="T44" s="235">
        <f t="shared" ref="T44:T49" si="12">K44</f>
        <v>3251750</v>
      </c>
      <c r="U44" s="235">
        <v>0</v>
      </c>
      <c r="V44" s="235">
        <v>0</v>
      </c>
      <c r="W44" s="235">
        <v>0</v>
      </c>
      <c r="X44" s="235">
        <v>0</v>
      </c>
      <c r="Y44" s="234">
        <v>0</v>
      </c>
      <c r="Z44" s="1" t="b">
        <f t="shared" si="4"/>
        <v>1</v>
      </c>
      <c r="AA44" s="43">
        <f t="shared" si="2"/>
        <v>0.5</v>
      </c>
      <c r="AB44" s="44" t="b">
        <f t="shared" si="3"/>
        <v>1</v>
      </c>
      <c r="AC44" s="44" t="b">
        <f t="shared" si="5"/>
        <v>1</v>
      </c>
    </row>
    <row r="45" spans="1:35" ht="36.75" customHeight="1" x14ac:dyDescent="0.25">
      <c r="A45" s="195">
        <v>43</v>
      </c>
      <c r="B45" s="182">
        <v>165</v>
      </c>
      <c r="C45" s="182" t="s">
        <v>299</v>
      </c>
      <c r="D45" s="182" t="s">
        <v>53</v>
      </c>
      <c r="E45" s="182">
        <v>2005</v>
      </c>
      <c r="F45" s="183" t="s">
        <v>229</v>
      </c>
      <c r="G45" s="182" t="s">
        <v>87</v>
      </c>
      <c r="H45" s="187">
        <v>2.1</v>
      </c>
      <c r="I45" s="182" t="s">
        <v>230</v>
      </c>
      <c r="J45" s="188">
        <v>837270.73</v>
      </c>
      <c r="K45" s="191">
        <f t="shared" si="10"/>
        <v>418635.36</v>
      </c>
      <c r="L45" s="191">
        <f t="shared" si="11"/>
        <v>418635.37</v>
      </c>
      <c r="M45" s="186">
        <v>0.5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f t="shared" si="12"/>
        <v>418635.36</v>
      </c>
      <c r="U45" s="235">
        <v>0</v>
      </c>
      <c r="V45" s="235">
        <v>0</v>
      </c>
      <c r="W45" s="235">
        <v>0</v>
      </c>
      <c r="X45" s="235">
        <v>0</v>
      </c>
      <c r="Y45" s="234">
        <v>0</v>
      </c>
      <c r="Z45" s="1" t="b">
        <f t="shared" si="4"/>
        <v>1</v>
      </c>
      <c r="AA45" s="43">
        <f t="shared" si="2"/>
        <v>0.5</v>
      </c>
      <c r="AB45" s="44" t="b">
        <f t="shared" si="3"/>
        <v>1</v>
      </c>
      <c r="AC45" s="44" t="b">
        <f t="shared" si="5"/>
        <v>1</v>
      </c>
    </row>
    <row r="46" spans="1:35" ht="36.75" customHeight="1" x14ac:dyDescent="0.25">
      <c r="A46" s="195">
        <v>44</v>
      </c>
      <c r="B46" s="182">
        <v>32</v>
      </c>
      <c r="C46" s="182" t="s">
        <v>299</v>
      </c>
      <c r="D46" s="182" t="s">
        <v>56</v>
      </c>
      <c r="E46" s="182">
        <v>2008</v>
      </c>
      <c r="F46" s="183" t="s">
        <v>231</v>
      </c>
      <c r="G46" s="182" t="s">
        <v>85</v>
      </c>
      <c r="H46" s="185">
        <v>2.04</v>
      </c>
      <c r="I46" s="182" t="s">
        <v>228</v>
      </c>
      <c r="J46" s="191">
        <v>6003500</v>
      </c>
      <c r="K46" s="191">
        <f t="shared" si="10"/>
        <v>3001750</v>
      </c>
      <c r="L46" s="191">
        <f t="shared" si="11"/>
        <v>3001750</v>
      </c>
      <c r="M46" s="186">
        <v>0.5</v>
      </c>
      <c r="N46" s="234">
        <v>0</v>
      </c>
      <c r="O46" s="234">
        <v>0</v>
      </c>
      <c r="P46" s="234">
        <v>0</v>
      </c>
      <c r="Q46" s="234">
        <v>0</v>
      </c>
      <c r="R46" s="235">
        <v>0</v>
      </c>
      <c r="S46" s="235">
        <v>0</v>
      </c>
      <c r="T46" s="235">
        <f t="shared" si="12"/>
        <v>3001750</v>
      </c>
      <c r="U46" s="235">
        <v>0</v>
      </c>
      <c r="V46" s="235">
        <v>0</v>
      </c>
      <c r="W46" s="235">
        <v>0</v>
      </c>
      <c r="X46" s="235">
        <v>0</v>
      </c>
      <c r="Y46" s="234">
        <v>0</v>
      </c>
      <c r="Z46" s="1" t="b">
        <f t="shared" si="4"/>
        <v>1</v>
      </c>
      <c r="AA46" s="43">
        <f t="shared" si="2"/>
        <v>0.5</v>
      </c>
      <c r="AB46" s="44" t="b">
        <f t="shared" si="3"/>
        <v>1</v>
      </c>
      <c r="AC46" s="44" t="b">
        <f t="shared" si="5"/>
        <v>1</v>
      </c>
    </row>
    <row r="47" spans="1:35" ht="36.75" customHeight="1" x14ac:dyDescent="0.25">
      <c r="A47" s="195">
        <v>45</v>
      </c>
      <c r="B47" s="182">
        <v>33</v>
      </c>
      <c r="C47" s="182" t="s">
        <v>299</v>
      </c>
      <c r="D47" s="182" t="s">
        <v>56</v>
      </c>
      <c r="E47" s="182">
        <v>2008</v>
      </c>
      <c r="F47" s="183" t="s">
        <v>232</v>
      </c>
      <c r="G47" s="182" t="s">
        <v>85</v>
      </c>
      <c r="H47" s="187">
        <v>1.569</v>
      </c>
      <c r="I47" s="182" t="s">
        <v>228</v>
      </c>
      <c r="J47" s="188">
        <v>4903500</v>
      </c>
      <c r="K47" s="191">
        <f t="shared" si="10"/>
        <v>2451750</v>
      </c>
      <c r="L47" s="191">
        <f t="shared" si="11"/>
        <v>2451750</v>
      </c>
      <c r="M47" s="186">
        <v>0.5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f t="shared" si="12"/>
        <v>2451750</v>
      </c>
      <c r="U47" s="235">
        <v>0</v>
      </c>
      <c r="V47" s="235">
        <v>0</v>
      </c>
      <c r="W47" s="235">
        <v>0</v>
      </c>
      <c r="X47" s="235">
        <v>0</v>
      </c>
      <c r="Y47" s="234">
        <v>0</v>
      </c>
      <c r="Z47" s="1" t="b">
        <f t="shared" si="4"/>
        <v>1</v>
      </c>
      <c r="AA47" s="43">
        <f t="shared" si="2"/>
        <v>0.5</v>
      </c>
      <c r="AB47" s="44" t="b">
        <f t="shared" si="3"/>
        <v>1</v>
      </c>
      <c r="AC47" s="44" t="b">
        <f t="shared" si="5"/>
        <v>1</v>
      </c>
    </row>
    <row r="48" spans="1:35" ht="36.75" customHeight="1" x14ac:dyDescent="0.25">
      <c r="A48" s="195">
        <v>46</v>
      </c>
      <c r="B48" s="182">
        <v>150</v>
      </c>
      <c r="C48" s="182" t="s">
        <v>299</v>
      </c>
      <c r="D48" s="182" t="s">
        <v>58</v>
      </c>
      <c r="E48" s="182">
        <v>2010</v>
      </c>
      <c r="F48" s="183" t="s">
        <v>233</v>
      </c>
      <c r="G48" s="182" t="s">
        <v>83</v>
      </c>
      <c r="H48" s="187">
        <v>1.401</v>
      </c>
      <c r="I48" s="182" t="s">
        <v>234</v>
      </c>
      <c r="J48" s="188">
        <v>3909603.17</v>
      </c>
      <c r="K48" s="191">
        <f t="shared" si="10"/>
        <v>1954801.58</v>
      </c>
      <c r="L48" s="191">
        <f t="shared" si="11"/>
        <v>1954801.5899999999</v>
      </c>
      <c r="M48" s="186">
        <v>0.5</v>
      </c>
      <c r="N48" s="235">
        <v>0</v>
      </c>
      <c r="O48" s="235">
        <v>0</v>
      </c>
      <c r="P48" s="235">
        <v>0</v>
      </c>
      <c r="Q48" s="235">
        <v>0</v>
      </c>
      <c r="R48" s="235">
        <v>0</v>
      </c>
      <c r="S48" s="235">
        <v>0</v>
      </c>
      <c r="T48" s="235">
        <f t="shared" si="12"/>
        <v>1954801.58</v>
      </c>
      <c r="U48" s="235">
        <v>0</v>
      </c>
      <c r="V48" s="235">
        <v>0</v>
      </c>
      <c r="W48" s="235">
        <v>0</v>
      </c>
      <c r="X48" s="235">
        <v>0</v>
      </c>
      <c r="Y48" s="234">
        <v>0</v>
      </c>
      <c r="Z48" s="1" t="b">
        <f t="shared" si="4"/>
        <v>1</v>
      </c>
      <c r="AA48" s="43">
        <f t="shared" si="2"/>
        <v>0.5</v>
      </c>
      <c r="AB48" s="44" t="b">
        <f t="shared" si="3"/>
        <v>1</v>
      </c>
      <c r="AC48" s="44" t="b">
        <f t="shared" si="5"/>
        <v>1</v>
      </c>
    </row>
    <row r="49" spans="1:29" ht="36.75" customHeight="1" x14ac:dyDescent="0.25">
      <c r="A49" s="195">
        <v>47</v>
      </c>
      <c r="B49" s="182">
        <v>110</v>
      </c>
      <c r="C49" s="182" t="s">
        <v>299</v>
      </c>
      <c r="D49" s="182" t="s">
        <v>50</v>
      </c>
      <c r="E49" s="182">
        <v>2002</v>
      </c>
      <c r="F49" s="183" t="s">
        <v>235</v>
      </c>
      <c r="G49" s="182" t="s">
        <v>87</v>
      </c>
      <c r="H49" s="187">
        <v>0.85</v>
      </c>
      <c r="I49" s="182" t="s">
        <v>213</v>
      </c>
      <c r="J49" s="188">
        <v>804000</v>
      </c>
      <c r="K49" s="191">
        <f t="shared" si="10"/>
        <v>402000</v>
      </c>
      <c r="L49" s="191">
        <f t="shared" si="11"/>
        <v>402000</v>
      </c>
      <c r="M49" s="186">
        <v>0.5</v>
      </c>
      <c r="N49" s="235">
        <v>0</v>
      </c>
      <c r="O49" s="235">
        <v>0</v>
      </c>
      <c r="P49" s="235">
        <v>0</v>
      </c>
      <c r="Q49" s="235">
        <v>0</v>
      </c>
      <c r="R49" s="235">
        <v>0</v>
      </c>
      <c r="S49" s="235">
        <v>0</v>
      </c>
      <c r="T49" s="235">
        <f t="shared" si="12"/>
        <v>402000</v>
      </c>
      <c r="U49" s="235">
        <v>0</v>
      </c>
      <c r="V49" s="235">
        <v>0</v>
      </c>
      <c r="W49" s="235">
        <v>0</v>
      </c>
      <c r="X49" s="235">
        <v>0</v>
      </c>
      <c r="Y49" s="234">
        <v>0</v>
      </c>
      <c r="Z49" s="1" t="b">
        <f t="shared" si="4"/>
        <v>1</v>
      </c>
      <c r="AA49" s="43">
        <f t="shared" si="2"/>
        <v>0.5</v>
      </c>
      <c r="AB49" s="44" t="b">
        <f t="shared" si="3"/>
        <v>1</v>
      </c>
      <c r="AC49" s="44" t="b">
        <f t="shared" si="5"/>
        <v>1</v>
      </c>
    </row>
    <row r="50" spans="1:29" ht="45.75" customHeight="1" x14ac:dyDescent="0.25">
      <c r="A50" s="195">
        <v>48</v>
      </c>
      <c r="B50" s="182">
        <v>240</v>
      </c>
      <c r="C50" s="182" t="s">
        <v>299</v>
      </c>
      <c r="D50" s="182" t="s">
        <v>55</v>
      </c>
      <c r="E50" s="182">
        <v>2007</v>
      </c>
      <c r="F50" s="183" t="s">
        <v>236</v>
      </c>
      <c r="G50" s="182" t="s">
        <v>83</v>
      </c>
      <c r="H50" s="187">
        <v>0.12</v>
      </c>
      <c r="I50" s="182" t="s">
        <v>237</v>
      </c>
      <c r="J50" s="188">
        <v>1006000</v>
      </c>
      <c r="K50" s="191">
        <f>ROUNDDOWN(J50*M50,2)</f>
        <v>503000</v>
      </c>
      <c r="L50" s="191">
        <f>J50-K50</f>
        <v>503000</v>
      </c>
      <c r="M50" s="186">
        <v>0.5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f>K50</f>
        <v>503000</v>
      </c>
      <c r="U50" s="235">
        <v>0</v>
      </c>
      <c r="V50" s="235">
        <v>0</v>
      </c>
      <c r="W50" s="235">
        <v>0</v>
      </c>
      <c r="X50" s="235">
        <v>0</v>
      </c>
      <c r="Y50" s="234">
        <v>0</v>
      </c>
      <c r="Z50" s="1" t="b">
        <f t="shared" si="4"/>
        <v>1</v>
      </c>
      <c r="AA50" s="43">
        <f t="shared" si="2"/>
        <v>0.5</v>
      </c>
      <c r="AB50" s="44" t="b">
        <f t="shared" si="3"/>
        <v>1</v>
      </c>
      <c r="AC50" s="44" t="b">
        <f t="shared" si="5"/>
        <v>1</v>
      </c>
    </row>
    <row r="51" spans="1:29" ht="36.75" customHeight="1" x14ac:dyDescent="0.25">
      <c r="A51" s="155">
        <v>49</v>
      </c>
      <c r="B51" s="179">
        <v>185</v>
      </c>
      <c r="C51" s="179" t="s">
        <v>300</v>
      </c>
      <c r="D51" s="179" t="s">
        <v>61</v>
      </c>
      <c r="E51" s="179">
        <v>2013</v>
      </c>
      <c r="F51" s="190" t="s">
        <v>238</v>
      </c>
      <c r="G51" s="179" t="s">
        <v>87</v>
      </c>
      <c r="H51" s="148">
        <v>8.1150000000000002</v>
      </c>
      <c r="I51" s="179" t="s">
        <v>239</v>
      </c>
      <c r="J51" s="57">
        <v>12570889</v>
      </c>
      <c r="K51" s="151">
        <f t="shared" si="10"/>
        <v>6285444.5</v>
      </c>
      <c r="L51" s="151">
        <f t="shared" si="11"/>
        <v>6285444.5</v>
      </c>
      <c r="M51" s="152">
        <v>0.5</v>
      </c>
      <c r="N51" s="233">
        <v>0</v>
      </c>
      <c r="O51" s="233">
        <v>0</v>
      </c>
      <c r="P51" s="233">
        <v>0</v>
      </c>
      <c r="Q51" s="233">
        <v>0</v>
      </c>
      <c r="R51" s="233">
        <v>0</v>
      </c>
      <c r="S51" s="233">
        <v>0</v>
      </c>
      <c r="T51" s="233">
        <v>2002000</v>
      </c>
      <c r="U51" s="233">
        <v>10000</v>
      </c>
      <c r="V51" s="233">
        <v>2000000</v>
      </c>
      <c r="W51" s="233">
        <v>2273444.5</v>
      </c>
      <c r="X51" s="233">
        <v>0</v>
      </c>
      <c r="Y51" s="232">
        <v>0</v>
      </c>
      <c r="Z51" s="1" t="b">
        <f t="shared" si="4"/>
        <v>1</v>
      </c>
      <c r="AA51" s="43">
        <f t="shared" si="2"/>
        <v>0.5</v>
      </c>
      <c r="AB51" s="44" t="b">
        <f t="shared" si="3"/>
        <v>1</v>
      </c>
      <c r="AC51" s="44" t="b">
        <f t="shared" si="5"/>
        <v>1</v>
      </c>
    </row>
    <row r="52" spans="1:29" ht="36.75" customHeight="1" x14ac:dyDescent="0.25">
      <c r="A52" s="155">
        <v>50</v>
      </c>
      <c r="B52" s="179">
        <v>154</v>
      </c>
      <c r="C52" s="179" t="s">
        <v>300</v>
      </c>
      <c r="D52" s="179" t="s">
        <v>58</v>
      </c>
      <c r="E52" s="179">
        <v>2010</v>
      </c>
      <c r="F52" s="190" t="s">
        <v>240</v>
      </c>
      <c r="G52" s="179" t="s">
        <v>83</v>
      </c>
      <c r="H52" s="148">
        <v>4.2</v>
      </c>
      <c r="I52" s="179" t="s">
        <v>241</v>
      </c>
      <c r="J52" s="151">
        <v>10243754.140000001</v>
      </c>
      <c r="K52" s="151">
        <f t="shared" si="10"/>
        <v>5121877.07</v>
      </c>
      <c r="L52" s="151">
        <f t="shared" si="11"/>
        <v>5121877.07</v>
      </c>
      <c r="M52" s="152">
        <v>0.5</v>
      </c>
      <c r="N52" s="233">
        <v>0</v>
      </c>
      <c r="O52" s="233">
        <v>0</v>
      </c>
      <c r="P52" s="233">
        <v>0</v>
      </c>
      <c r="Q52" s="233">
        <v>0</v>
      </c>
      <c r="R52" s="233">
        <v>0</v>
      </c>
      <c r="S52" s="233">
        <v>0</v>
      </c>
      <c r="T52" s="233">
        <v>2048800.83</v>
      </c>
      <c r="U52" s="233">
        <v>3073076.24</v>
      </c>
      <c r="V52" s="233">
        <v>0</v>
      </c>
      <c r="W52" s="233">
        <v>0</v>
      </c>
      <c r="X52" s="233">
        <v>0</v>
      </c>
      <c r="Y52" s="232">
        <v>0</v>
      </c>
      <c r="Z52" s="1" t="b">
        <f t="shared" si="4"/>
        <v>1</v>
      </c>
      <c r="AA52" s="43">
        <f t="shared" si="2"/>
        <v>0.5</v>
      </c>
      <c r="AB52" s="44" t="b">
        <f t="shared" si="3"/>
        <v>1</v>
      </c>
      <c r="AC52" s="44" t="b">
        <f t="shared" si="5"/>
        <v>1</v>
      </c>
    </row>
    <row r="53" spans="1:29" ht="36.75" customHeight="1" x14ac:dyDescent="0.25">
      <c r="A53" s="195">
        <v>51</v>
      </c>
      <c r="B53" s="182">
        <v>121</v>
      </c>
      <c r="C53" s="142" t="s">
        <v>299</v>
      </c>
      <c r="D53" s="182" t="s">
        <v>62</v>
      </c>
      <c r="E53" s="182">
        <v>2014</v>
      </c>
      <c r="F53" s="183" t="s">
        <v>242</v>
      </c>
      <c r="G53" s="182" t="s">
        <v>83</v>
      </c>
      <c r="H53" s="187">
        <v>2.4700000000000002</v>
      </c>
      <c r="I53" s="182" t="s">
        <v>221</v>
      </c>
      <c r="J53" s="188">
        <v>6933000</v>
      </c>
      <c r="K53" s="191">
        <f t="shared" si="10"/>
        <v>3466500</v>
      </c>
      <c r="L53" s="191">
        <f t="shared" si="11"/>
        <v>3466500</v>
      </c>
      <c r="M53" s="186">
        <v>0.5</v>
      </c>
      <c r="N53" s="234">
        <v>0</v>
      </c>
      <c r="O53" s="234">
        <v>0</v>
      </c>
      <c r="P53" s="234">
        <v>0</v>
      </c>
      <c r="Q53" s="234">
        <v>0</v>
      </c>
      <c r="R53" s="234">
        <v>0</v>
      </c>
      <c r="S53" s="234">
        <v>0</v>
      </c>
      <c r="T53" s="235">
        <f>K53</f>
        <v>3466500</v>
      </c>
      <c r="U53" s="235">
        <v>0</v>
      </c>
      <c r="V53" s="235">
        <v>0</v>
      </c>
      <c r="W53" s="235">
        <v>0</v>
      </c>
      <c r="X53" s="235">
        <v>0</v>
      </c>
      <c r="Y53" s="234">
        <v>0</v>
      </c>
      <c r="Z53" s="1" t="b">
        <f t="shared" si="4"/>
        <v>1</v>
      </c>
      <c r="AA53" s="43">
        <f t="shared" si="2"/>
        <v>0.5</v>
      </c>
      <c r="AB53" s="44" t="b">
        <f t="shared" si="3"/>
        <v>1</v>
      </c>
      <c r="AC53" s="44" t="b">
        <f t="shared" si="5"/>
        <v>1</v>
      </c>
    </row>
    <row r="54" spans="1:29" ht="36.75" customHeight="1" x14ac:dyDescent="0.25">
      <c r="A54" s="155">
        <v>52</v>
      </c>
      <c r="B54" s="179">
        <v>122</v>
      </c>
      <c r="C54" s="179" t="s">
        <v>300</v>
      </c>
      <c r="D54" s="179" t="s">
        <v>62</v>
      </c>
      <c r="E54" s="179">
        <v>2014</v>
      </c>
      <c r="F54" s="190" t="s">
        <v>243</v>
      </c>
      <c r="G54" s="179" t="s">
        <v>85</v>
      </c>
      <c r="H54" s="156">
        <v>2.14</v>
      </c>
      <c r="I54" s="179" t="s">
        <v>244</v>
      </c>
      <c r="J54" s="151">
        <v>8548000</v>
      </c>
      <c r="K54" s="151">
        <f t="shared" si="10"/>
        <v>4274000</v>
      </c>
      <c r="L54" s="151">
        <f t="shared" si="11"/>
        <v>4274000</v>
      </c>
      <c r="M54" s="152">
        <v>0.5</v>
      </c>
      <c r="N54" s="232">
        <v>0</v>
      </c>
      <c r="O54" s="232">
        <v>0</v>
      </c>
      <c r="P54" s="232">
        <v>0</v>
      </c>
      <c r="Q54" s="232">
        <v>0</v>
      </c>
      <c r="R54" s="233">
        <v>0</v>
      </c>
      <c r="S54" s="233">
        <v>0</v>
      </c>
      <c r="T54" s="233">
        <v>4174000</v>
      </c>
      <c r="U54" s="233">
        <v>100000</v>
      </c>
      <c r="V54" s="233">
        <v>0</v>
      </c>
      <c r="W54" s="233">
        <v>0</v>
      </c>
      <c r="X54" s="233">
        <v>0</v>
      </c>
      <c r="Y54" s="232">
        <v>0</v>
      </c>
      <c r="Z54" s="1" t="b">
        <f t="shared" si="4"/>
        <v>1</v>
      </c>
      <c r="AA54" s="43">
        <f t="shared" si="2"/>
        <v>0.5</v>
      </c>
      <c r="AB54" s="44" t="b">
        <f t="shared" si="3"/>
        <v>1</v>
      </c>
      <c r="AC54" s="44" t="b">
        <f t="shared" si="5"/>
        <v>1</v>
      </c>
    </row>
    <row r="55" spans="1:29" ht="36.75" customHeight="1" x14ac:dyDescent="0.25">
      <c r="A55" s="155">
        <v>53</v>
      </c>
      <c r="B55" s="179">
        <v>238</v>
      </c>
      <c r="C55" s="179" t="s">
        <v>300</v>
      </c>
      <c r="D55" s="179" t="s">
        <v>55</v>
      </c>
      <c r="E55" s="179">
        <v>2007</v>
      </c>
      <c r="F55" s="190" t="s">
        <v>245</v>
      </c>
      <c r="G55" s="179" t="s">
        <v>83</v>
      </c>
      <c r="H55" s="156">
        <v>1.45</v>
      </c>
      <c r="I55" s="179" t="s">
        <v>246</v>
      </c>
      <c r="J55" s="151">
        <v>3506000</v>
      </c>
      <c r="K55" s="151">
        <f>ROUNDDOWN(J55*M55,2)</f>
        <v>1753000</v>
      </c>
      <c r="L55" s="151">
        <f>J55-K55</f>
        <v>1753000</v>
      </c>
      <c r="M55" s="152">
        <v>0.5</v>
      </c>
      <c r="N55" s="232">
        <v>0</v>
      </c>
      <c r="O55" s="232">
        <v>0</v>
      </c>
      <c r="P55" s="232">
        <v>0</v>
      </c>
      <c r="Q55" s="232">
        <v>0</v>
      </c>
      <c r="R55" s="233">
        <v>0</v>
      </c>
      <c r="S55" s="233">
        <v>0</v>
      </c>
      <c r="T55" s="233">
        <v>2500</v>
      </c>
      <c r="U55" s="233">
        <v>75000</v>
      </c>
      <c r="V55" s="233">
        <v>1675500</v>
      </c>
      <c r="W55" s="233">
        <v>0</v>
      </c>
      <c r="X55" s="233">
        <v>0</v>
      </c>
      <c r="Y55" s="232">
        <v>0</v>
      </c>
      <c r="Z55" s="1" t="b">
        <f t="shared" si="4"/>
        <v>1</v>
      </c>
      <c r="AA55" s="43">
        <f t="shared" si="2"/>
        <v>0.5</v>
      </c>
      <c r="AB55" s="44" t="b">
        <f t="shared" si="3"/>
        <v>1</v>
      </c>
      <c r="AC55" s="44" t="b">
        <f t="shared" si="5"/>
        <v>1</v>
      </c>
    </row>
    <row r="56" spans="1:29" ht="36.75" customHeight="1" x14ac:dyDescent="0.25">
      <c r="A56" s="195">
        <v>54</v>
      </c>
      <c r="B56" s="182">
        <v>8</v>
      </c>
      <c r="C56" s="182" t="s">
        <v>299</v>
      </c>
      <c r="D56" s="182" t="s">
        <v>60</v>
      </c>
      <c r="E56" s="182">
        <v>2012</v>
      </c>
      <c r="F56" s="183" t="s">
        <v>247</v>
      </c>
      <c r="G56" s="182" t="s">
        <v>83</v>
      </c>
      <c r="H56" s="187">
        <v>1.1839999999999999</v>
      </c>
      <c r="I56" s="182" t="s">
        <v>248</v>
      </c>
      <c r="J56" s="191">
        <v>2461000</v>
      </c>
      <c r="K56" s="191">
        <f t="shared" si="10"/>
        <v>1230500</v>
      </c>
      <c r="L56" s="191">
        <f t="shared" si="11"/>
        <v>1230500</v>
      </c>
      <c r="M56" s="186">
        <v>0.5</v>
      </c>
      <c r="N56" s="234">
        <v>0</v>
      </c>
      <c r="O56" s="234">
        <v>0</v>
      </c>
      <c r="P56" s="234">
        <v>0</v>
      </c>
      <c r="Q56" s="234">
        <v>0</v>
      </c>
      <c r="R56" s="235">
        <v>0</v>
      </c>
      <c r="S56" s="235">
        <v>0</v>
      </c>
      <c r="T56" s="235">
        <f>K56</f>
        <v>1230500</v>
      </c>
      <c r="U56" s="235">
        <v>0</v>
      </c>
      <c r="V56" s="235">
        <v>0</v>
      </c>
      <c r="W56" s="235">
        <v>0</v>
      </c>
      <c r="X56" s="235">
        <v>0</v>
      </c>
      <c r="Y56" s="234">
        <v>0</v>
      </c>
      <c r="Z56" s="1" t="b">
        <f t="shared" si="4"/>
        <v>1</v>
      </c>
      <c r="AA56" s="43">
        <f t="shared" si="2"/>
        <v>0.5</v>
      </c>
      <c r="AB56" s="44" t="b">
        <f t="shared" si="3"/>
        <v>1</v>
      </c>
      <c r="AC56" s="44" t="b">
        <f t="shared" si="5"/>
        <v>1</v>
      </c>
    </row>
    <row r="57" spans="1:29" ht="36.75" customHeight="1" x14ac:dyDescent="0.25">
      <c r="A57" s="195">
        <v>55</v>
      </c>
      <c r="B57" s="182">
        <v>102</v>
      </c>
      <c r="C57" s="142" t="s">
        <v>299</v>
      </c>
      <c r="D57" s="182" t="s">
        <v>50</v>
      </c>
      <c r="E57" s="182">
        <v>2002</v>
      </c>
      <c r="F57" s="183" t="s">
        <v>249</v>
      </c>
      <c r="G57" s="182" t="s">
        <v>85</v>
      </c>
      <c r="H57" s="185">
        <v>1.18</v>
      </c>
      <c r="I57" s="182" t="s">
        <v>213</v>
      </c>
      <c r="J57" s="191">
        <v>6569000</v>
      </c>
      <c r="K57" s="191">
        <f>ROUNDDOWN(J57*M57,2)</f>
        <v>3284500</v>
      </c>
      <c r="L57" s="191">
        <f>J57-K57</f>
        <v>3284500</v>
      </c>
      <c r="M57" s="186">
        <v>0.5</v>
      </c>
      <c r="N57" s="234">
        <v>0</v>
      </c>
      <c r="O57" s="234">
        <v>0</v>
      </c>
      <c r="P57" s="234">
        <v>0</v>
      </c>
      <c r="Q57" s="234">
        <v>0</v>
      </c>
      <c r="R57" s="234">
        <v>0</v>
      </c>
      <c r="S57" s="234">
        <v>0</v>
      </c>
      <c r="T57" s="235">
        <f>K57</f>
        <v>3284500</v>
      </c>
      <c r="U57" s="235">
        <v>0</v>
      </c>
      <c r="V57" s="235">
        <v>0</v>
      </c>
      <c r="W57" s="235">
        <v>0</v>
      </c>
      <c r="X57" s="235">
        <v>0</v>
      </c>
      <c r="Y57" s="234">
        <v>0</v>
      </c>
      <c r="Z57" s="1" t="b">
        <f t="shared" si="4"/>
        <v>1</v>
      </c>
      <c r="AA57" s="43">
        <f t="shared" si="2"/>
        <v>0.5</v>
      </c>
      <c r="AB57" s="44" t="b">
        <f t="shared" si="3"/>
        <v>1</v>
      </c>
      <c r="AC57" s="44" t="b">
        <f t="shared" si="5"/>
        <v>1</v>
      </c>
    </row>
    <row r="58" spans="1:29" ht="36.75" customHeight="1" x14ac:dyDescent="0.25">
      <c r="A58" s="195">
        <v>56</v>
      </c>
      <c r="B58" s="182">
        <v>11</v>
      </c>
      <c r="C58" s="182" t="s">
        <v>299</v>
      </c>
      <c r="D58" s="182" t="s">
        <v>60</v>
      </c>
      <c r="E58" s="182">
        <v>2012</v>
      </c>
      <c r="F58" s="183" t="s">
        <v>250</v>
      </c>
      <c r="G58" s="182" t="s">
        <v>83</v>
      </c>
      <c r="H58" s="187">
        <v>1.137</v>
      </c>
      <c r="I58" s="182" t="s">
        <v>248</v>
      </c>
      <c r="J58" s="188">
        <v>3950000</v>
      </c>
      <c r="K58" s="191">
        <f t="shared" si="10"/>
        <v>1975000</v>
      </c>
      <c r="L58" s="191">
        <f t="shared" si="11"/>
        <v>1975000</v>
      </c>
      <c r="M58" s="186">
        <v>0.5</v>
      </c>
      <c r="N58" s="235">
        <v>0</v>
      </c>
      <c r="O58" s="235">
        <v>0</v>
      </c>
      <c r="P58" s="235">
        <v>0</v>
      </c>
      <c r="Q58" s="235">
        <v>0</v>
      </c>
      <c r="R58" s="235">
        <v>0</v>
      </c>
      <c r="S58" s="235">
        <v>0</v>
      </c>
      <c r="T58" s="235">
        <f>K58</f>
        <v>1975000</v>
      </c>
      <c r="U58" s="235">
        <v>0</v>
      </c>
      <c r="V58" s="235">
        <v>0</v>
      </c>
      <c r="W58" s="235">
        <v>0</v>
      </c>
      <c r="X58" s="235">
        <v>0</v>
      </c>
      <c r="Y58" s="234">
        <v>0</v>
      </c>
      <c r="Z58" s="1" t="b">
        <f t="shared" si="4"/>
        <v>1</v>
      </c>
      <c r="AA58" s="43">
        <f t="shared" si="2"/>
        <v>0.5</v>
      </c>
      <c r="AB58" s="44" t="b">
        <f t="shared" si="3"/>
        <v>1</v>
      </c>
      <c r="AC58" s="44" t="b">
        <f t="shared" si="5"/>
        <v>1</v>
      </c>
    </row>
    <row r="59" spans="1:29" ht="36.75" customHeight="1" x14ac:dyDescent="0.25">
      <c r="A59" s="195">
        <v>57</v>
      </c>
      <c r="B59" s="182">
        <v>229</v>
      </c>
      <c r="C59" s="182" t="s">
        <v>299</v>
      </c>
      <c r="D59" s="182" t="s">
        <v>57</v>
      </c>
      <c r="E59" s="182">
        <v>2009</v>
      </c>
      <c r="F59" s="183" t="s">
        <v>251</v>
      </c>
      <c r="G59" s="182" t="s">
        <v>83</v>
      </c>
      <c r="H59" s="185">
        <v>0.99</v>
      </c>
      <c r="I59" s="182" t="s">
        <v>252</v>
      </c>
      <c r="J59" s="188">
        <v>1826000</v>
      </c>
      <c r="K59" s="191">
        <f t="shared" si="10"/>
        <v>913000</v>
      </c>
      <c r="L59" s="191">
        <f t="shared" si="11"/>
        <v>913000</v>
      </c>
      <c r="M59" s="186">
        <v>0.5</v>
      </c>
      <c r="N59" s="234">
        <v>0</v>
      </c>
      <c r="O59" s="234">
        <v>0</v>
      </c>
      <c r="P59" s="234">
        <v>0</v>
      </c>
      <c r="Q59" s="234">
        <v>0</v>
      </c>
      <c r="R59" s="235">
        <v>0</v>
      </c>
      <c r="S59" s="235">
        <v>0</v>
      </c>
      <c r="T59" s="235">
        <f>K59</f>
        <v>913000</v>
      </c>
      <c r="U59" s="235">
        <v>0</v>
      </c>
      <c r="V59" s="235">
        <v>0</v>
      </c>
      <c r="W59" s="235">
        <v>0</v>
      </c>
      <c r="X59" s="235">
        <v>0</v>
      </c>
      <c r="Y59" s="234">
        <v>0</v>
      </c>
      <c r="Z59" s="1" t="b">
        <f t="shared" si="4"/>
        <v>1</v>
      </c>
      <c r="AA59" s="43">
        <f t="shared" si="2"/>
        <v>0.5</v>
      </c>
      <c r="AB59" s="44" t="b">
        <f t="shared" si="3"/>
        <v>1</v>
      </c>
      <c r="AC59" s="44" t="b">
        <f t="shared" si="5"/>
        <v>1</v>
      </c>
    </row>
    <row r="60" spans="1:29" ht="36.75" customHeight="1" x14ac:dyDescent="0.25">
      <c r="A60" s="297" t="s">
        <v>540</v>
      </c>
      <c r="B60" s="182">
        <v>166</v>
      </c>
      <c r="C60" s="182" t="s">
        <v>299</v>
      </c>
      <c r="D60" s="182" t="s">
        <v>53</v>
      </c>
      <c r="E60" s="182">
        <v>2005</v>
      </c>
      <c r="F60" s="183" t="s">
        <v>253</v>
      </c>
      <c r="G60" s="182" t="s">
        <v>83</v>
      </c>
      <c r="H60" s="187">
        <v>0.78</v>
      </c>
      <c r="I60" s="182" t="s">
        <v>254</v>
      </c>
      <c r="J60" s="188">
        <v>7164168.9500000002</v>
      </c>
      <c r="K60" s="191">
        <f>ROUNDDOWN(J60*M60,2)-1726316.47</f>
        <v>1855768.0000000002</v>
      </c>
      <c r="L60" s="191">
        <f t="shared" si="11"/>
        <v>5308400.95</v>
      </c>
      <c r="M60" s="186">
        <v>0.5</v>
      </c>
      <c r="N60" s="235">
        <v>0</v>
      </c>
      <c r="O60" s="235">
        <v>0</v>
      </c>
      <c r="P60" s="235">
        <v>0</v>
      </c>
      <c r="Q60" s="235">
        <v>0</v>
      </c>
      <c r="R60" s="235">
        <v>0</v>
      </c>
      <c r="S60" s="235">
        <v>0</v>
      </c>
      <c r="T60" s="235">
        <f>K60</f>
        <v>1855768.0000000002</v>
      </c>
      <c r="U60" s="235">
        <v>0</v>
      </c>
      <c r="V60" s="235">
        <v>0</v>
      </c>
      <c r="W60" s="235">
        <v>0</v>
      </c>
      <c r="X60" s="235">
        <v>0</v>
      </c>
      <c r="Y60" s="234">
        <v>0</v>
      </c>
      <c r="Z60" s="1" t="b">
        <f t="shared" si="4"/>
        <v>1</v>
      </c>
      <c r="AA60" s="43">
        <f t="shared" si="2"/>
        <v>0.25900000000000001</v>
      </c>
      <c r="AB60" s="44" t="b">
        <f t="shared" si="3"/>
        <v>0</v>
      </c>
      <c r="AC60" s="44" t="b">
        <f t="shared" si="5"/>
        <v>1</v>
      </c>
    </row>
    <row r="61" spans="1:29" ht="20.100000000000001" customHeight="1" x14ac:dyDescent="0.25">
      <c r="A61" s="355" t="s">
        <v>44</v>
      </c>
      <c r="B61" s="355"/>
      <c r="C61" s="355"/>
      <c r="D61" s="355"/>
      <c r="E61" s="355"/>
      <c r="F61" s="355"/>
      <c r="G61" s="355"/>
      <c r="H61" s="49">
        <f>SUM(H3:H60)</f>
        <v>156.14899999999994</v>
      </c>
      <c r="I61" s="50" t="s">
        <v>14</v>
      </c>
      <c r="J61" s="51">
        <f>SUM(J3:J60)</f>
        <v>468183770.96000004</v>
      </c>
      <c r="K61" s="51">
        <f>SUM(K3:K60)</f>
        <v>234797371.00400001</v>
      </c>
      <c r="L61" s="51">
        <f>SUM(L3:L60)</f>
        <v>233386399.956</v>
      </c>
      <c r="M61" s="53" t="s">
        <v>14</v>
      </c>
      <c r="N61" s="52">
        <f t="shared" ref="N61:Y61" si="13">SUM(N3:N60)</f>
        <v>0</v>
      </c>
      <c r="O61" s="52">
        <f t="shared" si="13"/>
        <v>0</v>
      </c>
      <c r="P61" s="54">
        <f t="shared" si="13"/>
        <v>0</v>
      </c>
      <c r="Q61" s="54">
        <f t="shared" si="13"/>
        <v>94647.56</v>
      </c>
      <c r="R61" s="54">
        <f t="shared" si="13"/>
        <v>3956069.8899999997</v>
      </c>
      <c r="S61" s="54">
        <f t="shared" si="13"/>
        <v>56095589.219999999</v>
      </c>
      <c r="T61" s="54">
        <f t="shared" si="13"/>
        <v>114021029.00399999</v>
      </c>
      <c r="U61" s="54">
        <f t="shared" si="13"/>
        <v>41332003.330000006</v>
      </c>
      <c r="V61" s="54">
        <f t="shared" si="13"/>
        <v>16204521</v>
      </c>
      <c r="W61" s="54">
        <f t="shared" si="13"/>
        <v>3093511</v>
      </c>
      <c r="X61" s="54">
        <f t="shared" si="13"/>
        <v>0</v>
      </c>
      <c r="Y61" s="54">
        <f t="shared" si="13"/>
        <v>0</v>
      </c>
      <c r="Z61" s="1" t="b">
        <f t="shared" ref="Z61:Z64" si="14">K61=SUM(N61:Y61)</f>
        <v>1</v>
      </c>
      <c r="AA61" s="43">
        <f t="shared" ref="AA61:AA63" si="15">ROUND(K61/J61,4)</f>
        <v>0.50149999999999995</v>
      </c>
      <c r="AB61" s="44" t="s">
        <v>14</v>
      </c>
      <c r="AC61" s="44" t="b">
        <f t="shared" ref="AC61:AC63" si="16">J61=K61+L61</f>
        <v>1</v>
      </c>
    </row>
    <row r="62" spans="1:29" ht="20.100000000000001" customHeight="1" x14ac:dyDescent="0.25">
      <c r="A62" s="354" t="s">
        <v>37</v>
      </c>
      <c r="B62" s="354"/>
      <c r="C62" s="354"/>
      <c r="D62" s="354"/>
      <c r="E62" s="354"/>
      <c r="F62" s="354"/>
      <c r="G62" s="354"/>
      <c r="H62" s="55">
        <f>SUMIF($C$3:$C$60,"K",H3:H60)</f>
        <v>95.524999999999991</v>
      </c>
      <c r="I62" s="56" t="s">
        <v>14</v>
      </c>
      <c r="J62" s="57">
        <f>SUMIF($C$3:$C$60,"K",J3:J60)</f>
        <v>296663207.83000004</v>
      </c>
      <c r="K62" s="57">
        <f>SUMIF($C$3:$C$60,"K",K3:K60)</f>
        <v>150763405.92399999</v>
      </c>
      <c r="L62" s="57">
        <f>SUMIF($C$3:$C$60,"K",L3:L60)</f>
        <v>145899801.90600002</v>
      </c>
      <c r="M62" s="59" t="s">
        <v>14</v>
      </c>
      <c r="N62" s="58">
        <f t="shared" ref="N62:Y62" si="17">SUMIF($C$3:$C$60,"K",N3:N60)</f>
        <v>0</v>
      </c>
      <c r="O62" s="58">
        <f t="shared" si="17"/>
        <v>0</v>
      </c>
      <c r="P62" s="60">
        <f t="shared" si="17"/>
        <v>0</v>
      </c>
      <c r="Q62" s="60">
        <f t="shared" si="17"/>
        <v>94647.56</v>
      </c>
      <c r="R62" s="60">
        <f t="shared" si="17"/>
        <v>3956069.8899999997</v>
      </c>
      <c r="S62" s="60">
        <f t="shared" si="17"/>
        <v>56095589.219999999</v>
      </c>
      <c r="T62" s="60">
        <f t="shared" si="17"/>
        <v>54271943.164000005</v>
      </c>
      <c r="U62" s="60">
        <f t="shared" si="17"/>
        <v>36345156.090000004</v>
      </c>
      <c r="V62" s="60">
        <f t="shared" si="17"/>
        <v>0</v>
      </c>
      <c r="W62" s="60">
        <f t="shared" si="17"/>
        <v>0</v>
      </c>
      <c r="X62" s="60">
        <f t="shared" si="17"/>
        <v>0</v>
      </c>
      <c r="Y62" s="60">
        <f t="shared" si="17"/>
        <v>0</v>
      </c>
      <c r="Z62" s="1" t="b">
        <f t="shared" si="14"/>
        <v>1</v>
      </c>
      <c r="AA62" s="43">
        <f t="shared" ref="AA62" si="18">ROUND(K62/J62,4)</f>
        <v>0.50819999999999999</v>
      </c>
      <c r="AB62" s="44" t="s">
        <v>14</v>
      </c>
      <c r="AC62" s="44" t="b">
        <f t="shared" ref="AC62" si="19">J62=K62+L62</f>
        <v>1</v>
      </c>
    </row>
    <row r="63" spans="1:29" ht="20.100000000000001" customHeight="1" x14ac:dyDescent="0.25">
      <c r="A63" s="355" t="s">
        <v>38</v>
      </c>
      <c r="B63" s="355"/>
      <c r="C63" s="355"/>
      <c r="D63" s="355"/>
      <c r="E63" s="355"/>
      <c r="F63" s="355"/>
      <c r="G63" s="355"/>
      <c r="H63" s="49">
        <f>SUMIF($C$3:$C$60,"N",H3:H60)</f>
        <v>30.911000000000001</v>
      </c>
      <c r="I63" s="50" t="s">
        <v>14</v>
      </c>
      <c r="J63" s="51">
        <f>SUMIF($C$3:$C$60,"N",J3:J60)</f>
        <v>102044660.84999999</v>
      </c>
      <c r="K63" s="51">
        <f>SUMIF($C$3:$C$60,"N",K3:K60)</f>
        <v>49296013.939999998</v>
      </c>
      <c r="L63" s="51">
        <f>SUMIF($C$3:$C$60,"N",L3:L60)</f>
        <v>52748646.910000011</v>
      </c>
      <c r="M63" s="53" t="s">
        <v>14</v>
      </c>
      <c r="N63" s="52">
        <f t="shared" ref="N63:Y63" si="20">SUMIF($C$3:$C$60,"N",N3:N60)</f>
        <v>0</v>
      </c>
      <c r="O63" s="52">
        <f t="shared" si="20"/>
        <v>0</v>
      </c>
      <c r="P63" s="54">
        <f t="shared" si="20"/>
        <v>0</v>
      </c>
      <c r="Q63" s="54">
        <f t="shared" si="20"/>
        <v>0</v>
      </c>
      <c r="R63" s="54">
        <f t="shared" si="20"/>
        <v>0</v>
      </c>
      <c r="S63" s="54">
        <f t="shared" si="20"/>
        <v>0</v>
      </c>
      <c r="T63" s="54">
        <f t="shared" si="20"/>
        <v>49296013.939999998</v>
      </c>
      <c r="U63" s="54">
        <f t="shared" si="20"/>
        <v>0</v>
      </c>
      <c r="V63" s="54">
        <f t="shared" si="20"/>
        <v>0</v>
      </c>
      <c r="W63" s="54">
        <f t="shared" si="20"/>
        <v>0</v>
      </c>
      <c r="X63" s="54">
        <f t="shared" si="20"/>
        <v>0</v>
      </c>
      <c r="Y63" s="54">
        <f t="shared" si="20"/>
        <v>0</v>
      </c>
      <c r="Z63" s="1" t="b">
        <f t="shared" si="14"/>
        <v>1</v>
      </c>
      <c r="AA63" s="43">
        <f t="shared" si="15"/>
        <v>0.48309999999999997</v>
      </c>
      <c r="AB63" s="44" t="s">
        <v>14</v>
      </c>
      <c r="AC63" s="44" t="b">
        <f t="shared" si="16"/>
        <v>1</v>
      </c>
    </row>
    <row r="64" spans="1:29" ht="20.100000000000001" customHeight="1" x14ac:dyDescent="0.25">
      <c r="A64" s="354" t="s">
        <v>39</v>
      </c>
      <c r="B64" s="354"/>
      <c r="C64" s="354"/>
      <c r="D64" s="354"/>
      <c r="E64" s="354"/>
      <c r="F64" s="354"/>
      <c r="G64" s="354"/>
      <c r="H64" s="55">
        <f>SUMIF($C$3:$C$60,"W",H3:H60)</f>
        <v>29.713000000000001</v>
      </c>
      <c r="I64" s="56" t="s">
        <v>14</v>
      </c>
      <c r="J64" s="57">
        <f>SUMIF($C$3:$C$60,"W",J3:J60)</f>
        <v>69475902.280000001</v>
      </c>
      <c r="K64" s="58">
        <f>SUMIF($C$3:$C$60,"W",K3:K60)</f>
        <v>34737951.140000001</v>
      </c>
      <c r="L64" s="58">
        <f>SUMIF($C$3:$C$60,"W",L3:L60)</f>
        <v>34737951.140000001</v>
      </c>
      <c r="M64" s="59" t="s">
        <v>14</v>
      </c>
      <c r="N64" s="58">
        <f t="shared" ref="N64:Y64" si="21">SUMIF($C$3:$C$60,"W",N3:N60)</f>
        <v>0</v>
      </c>
      <c r="O64" s="58">
        <f t="shared" si="21"/>
        <v>0</v>
      </c>
      <c r="P64" s="60">
        <f t="shared" si="21"/>
        <v>0</v>
      </c>
      <c r="Q64" s="60">
        <f t="shared" si="21"/>
        <v>0</v>
      </c>
      <c r="R64" s="60">
        <f t="shared" si="21"/>
        <v>0</v>
      </c>
      <c r="S64" s="60">
        <f t="shared" si="21"/>
        <v>0</v>
      </c>
      <c r="T64" s="60">
        <f t="shared" si="21"/>
        <v>10453071.9</v>
      </c>
      <c r="U64" s="60">
        <f t="shared" si="21"/>
        <v>4986847.24</v>
      </c>
      <c r="V64" s="60">
        <f t="shared" si="21"/>
        <v>16204521</v>
      </c>
      <c r="W64" s="60">
        <f t="shared" si="21"/>
        <v>3093511</v>
      </c>
      <c r="X64" s="60">
        <f t="shared" si="21"/>
        <v>0</v>
      </c>
      <c r="Y64" s="60">
        <f t="shared" si="21"/>
        <v>0</v>
      </c>
      <c r="Z64" s="1" t="b">
        <f t="shared" si="14"/>
        <v>1</v>
      </c>
      <c r="AA64" s="43">
        <f t="shared" ref="AA64" si="22">ROUND(K64/J64,4)</f>
        <v>0.5</v>
      </c>
      <c r="AB64" s="44" t="s">
        <v>14</v>
      </c>
      <c r="AC64" s="44" t="b">
        <f t="shared" ref="AC64" si="23">J64=K64+L64</f>
        <v>1</v>
      </c>
    </row>
    <row r="65" spans="1:29" x14ac:dyDescent="0.25">
      <c r="A65" s="35"/>
      <c r="B65" s="35"/>
      <c r="C65" s="204"/>
      <c r="D65" s="35"/>
      <c r="E65" s="35"/>
      <c r="F65" s="35"/>
      <c r="G65" s="35"/>
    </row>
    <row r="66" spans="1:29" x14ac:dyDescent="0.25">
      <c r="A66" s="33" t="s">
        <v>24</v>
      </c>
      <c r="B66" s="33"/>
      <c r="C66" s="202"/>
      <c r="D66" s="33"/>
      <c r="E66" s="33"/>
      <c r="F66" s="33"/>
      <c r="G66" s="33"/>
      <c r="H66" s="14"/>
      <c r="I66" s="14"/>
      <c r="J66" s="6"/>
      <c r="K66" s="14"/>
      <c r="L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"/>
      <c r="AC66" s="44"/>
    </row>
    <row r="67" spans="1:29" x14ac:dyDescent="0.25">
      <c r="A67" s="34" t="s">
        <v>25</v>
      </c>
      <c r="B67" s="34"/>
      <c r="C67" s="203"/>
      <c r="D67" s="34"/>
      <c r="E67" s="34"/>
      <c r="F67" s="34"/>
      <c r="G67" s="34"/>
      <c r="H67" s="14"/>
      <c r="I67" s="14"/>
      <c r="J67" s="30"/>
      <c r="K67" s="14"/>
      <c r="L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"/>
    </row>
    <row r="68" spans="1:29" x14ac:dyDescent="0.25">
      <c r="A68" s="33" t="s">
        <v>42</v>
      </c>
      <c r="B68" s="35"/>
      <c r="C68" s="204"/>
      <c r="D68" s="35"/>
      <c r="E68" s="35"/>
      <c r="F68" s="35"/>
      <c r="G68" s="35"/>
      <c r="J68" s="29"/>
    </row>
    <row r="69" spans="1:29" x14ac:dyDescent="0.25">
      <c r="A69" s="358" t="s">
        <v>502</v>
      </c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</row>
    <row r="70" spans="1:29" ht="32.25" customHeight="1" x14ac:dyDescent="0.25">
      <c r="A70" s="347" t="s">
        <v>503</v>
      </c>
      <c r="B70" s="347"/>
      <c r="C70" s="347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218"/>
    </row>
  </sheetData>
  <mergeCells count="20">
    <mergeCell ref="F1:F2"/>
    <mergeCell ref="G1:G2"/>
    <mergeCell ref="A62:G62"/>
    <mergeCell ref="A69:R69"/>
    <mergeCell ref="A70:Q70"/>
    <mergeCell ref="H1:H2"/>
    <mergeCell ref="I1:I2"/>
    <mergeCell ref="J1:J2"/>
    <mergeCell ref="K1:K2"/>
    <mergeCell ref="N1:Y1"/>
    <mergeCell ref="L1:L2"/>
    <mergeCell ref="M1:M2"/>
    <mergeCell ref="D1:D2"/>
    <mergeCell ref="A64:G64"/>
    <mergeCell ref="A63:G63"/>
    <mergeCell ref="E1:E2"/>
    <mergeCell ref="A61:G61"/>
    <mergeCell ref="A1:A2"/>
    <mergeCell ref="B1:B2"/>
    <mergeCell ref="C1:C2"/>
  </mergeCells>
  <conditionalFormatting sqref="Z3:AC3 Z4:Z64 AA4:AC62">
    <cfRule type="cellIs" dxfId="61" priority="15" operator="equal">
      <formula>FALSE</formula>
    </cfRule>
  </conditionalFormatting>
  <conditionalFormatting sqref="Z3:AB3 Z4:Z64 AA4:AB62">
    <cfRule type="containsText" dxfId="60" priority="13" operator="containsText" text="fałsz">
      <formula>NOT(ISERROR(SEARCH("fałsz",Z3)))</formula>
    </cfRule>
  </conditionalFormatting>
  <conditionalFormatting sqref="AC66">
    <cfRule type="cellIs" dxfId="59" priority="12" operator="equal">
      <formula>FALSE</formula>
    </cfRule>
  </conditionalFormatting>
  <conditionalFormatting sqref="AC66">
    <cfRule type="cellIs" dxfId="58" priority="11" operator="equal">
      <formula>FALSE</formula>
    </cfRule>
  </conditionalFormatting>
  <conditionalFormatting sqref="AA64:AB64">
    <cfRule type="cellIs" dxfId="57" priority="10" operator="equal">
      <formula>FALSE</formula>
    </cfRule>
  </conditionalFormatting>
  <conditionalFormatting sqref="AA64:AB64">
    <cfRule type="containsText" dxfId="56" priority="8" operator="containsText" text="fałsz">
      <formula>NOT(ISERROR(SEARCH("fałsz",AA64)))</formula>
    </cfRule>
  </conditionalFormatting>
  <conditionalFormatting sqref="AC64">
    <cfRule type="cellIs" dxfId="55" priority="7" operator="equal">
      <formula>FALSE</formula>
    </cfRule>
  </conditionalFormatting>
  <conditionalFormatting sqref="AC64">
    <cfRule type="cellIs" dxfId="54" priority="6" operator="equal">
      <formula>FALSE</formula>
    </cfRule>
  </conditionalFormatting>
  <conditionalFormatting sqref="AA63:AB63">
    <cfRule type="cellIs" dxfId="53" priority="5" operator="equal">
      <formula>FALSE</formula>
    </cfRule>
  </conditionalFormatting>
  <conditionalFormatting sqref="AA63:AB63">
    <cfRule type="containsText" dxfId="52" priority="3" operator="containsText" text="fałsz">
      <formula>NOT(ISERROR(SEARCH("fałsz",AA63)))</formula>
    </cfRule>
  </conditionalFormatting>
  <conditionalFormatting sqref="AC63">
    <cfRule type="cellIs" dxfId="51" priority="2" operator="equal">
      <formula>FALSE</formula>
    </cfRule>
  </conditionalFormatting>
  <conditionalFormatting sqref="AC63">
    <cfRule type="cellIs" dxfId="50" priority="1" operator="equal">
      <formula>FALSE</formula>
    </cfRule>
  </conditionalFormatting>
  <dataValidations count="2">
    <dataValidation type="list" allowBlank="1" showInputMessage="1" showErrorMessage="1" sqref="G3 G6 G13:G25 WLS13:WLS25 WBW13:WBW25 VSA13:VSA25 VIE13:VIE25 UYI13:UYI25 UOM13:UOM25 UEQ13:UEQ25 TUU13:TUU25 TKY13:TKY25 TBC13:TBC25 SRG13:SRG25 SHK13:SHK25 RXO13:RXO25 RNS13:RNS25 RDW13:RDW25 QUA13:QUA25 QKE13:QKE25 QAI13:QAI25 PQM13:PQM25 PGQ13:PGQ25 OWU13:OWU25 OMY13:OMY25 ODC13:ODC25 NTG13:NTG25 NJK13:NJK25 MZO13:MZO25 MPS13:MPS25 MFW13:MFW25 LWA13:LWA25 LME13:LME25 LCI13:LCI25 KSM13:KSM25 KIQ13:KIQ25 JYU13:JYU25 JOY13:JOY25 JFC13:JFC25 IVG13:IVG25 ILK13:ILK25 IBO13:IBO25 HRS13:HRS25 HHW13:HHW25 GYA13:GYA25 GOE13:GOE25 GEI13:GEI25 FUM13:FUM25 FKQ13:FKQ25 FAU13:FAU25 EQY13:EQY25 EHC13:EHC25 DXG13:DXG25 DNK13:DNK25 DDO13:DDO25 CTS13:CTS25 CJW13:CJW25 CAA13:CAA25 BQE13:BQE25 BGI13:BGI25 AWM13:AWM25 AMQ13:AMQ25 ACU13:ACU25 SY13:SY25 JC13:JC25 WVO13:WVO25">
      <formula1>"B,P,R"</formula1>
    </dataValidation>
    <dataValidation type="list" allowBlank="1" showInputMessage="1" showErrorMessage="1" sqref="C40:C49 WLO29:WLO34 WBS29:WBS34 VRW29:VRW34 VIA29:VIA34 UYE29:UYE34 UOI29:UOI34 UEM29:UEM34 TUQ29:TUQ34 TKU29:TKU34 TAY29:TAY34 SRC29:SRC34 SHG29:SHG34 RXK29:RXK34 RNO29:RNO34 RDS29:RDS34 QTW29:QTW34 QKA29:QKA34 QAE29:QAE34 PQI29:PQI34 PGM29:PGM34 OWQ29:OWQ34 OMU29:OMU34 OCY29:OCY34 NTC29:NTC34 NJG29:NJG34 MZK29:MZK34 MPO29:MPO34 MFS29:MFS34 LVW29:LVW34 LMA29:LMA34 LCE29:LCE34 KSI29:KSI34 KIM29:KIM34 JYQ29:JYQ34 JOU29:JOU34 JEY29:JEY34 IVC29:IVC34 ILG29:ILG34 IBK29:IBK34 HRO29:HRO34 HHS29:HHS34 GXW29:GXW34 GOA29:GOA34 GEE29:GEE34 FUI29:FUI34 FKM29:FKM34 FAQ29:FAQ34 EQU29:EQU34 EGY29:EGY34 DXC29:DXC34 DNG29:DNG34 DDK29:DDK34 CTO29:CTO34 CJS29:CJS34 BZW29:BZW34 BQA29:BQA34 BGE29:BGE34 AWI29:AWI34 AMM29:AMM34 ACQ29:ACQ34 SU29:SU34 IY29:IY34 WVK29:WVK34 C29:C38 C3:C27 WLO13:WLO27 WBS13:WBS27 VRW13:VRW27 VIA13:VIA27 UYE13:UYE27 UOI13:UOI27 UEM13:UEM27 TUQ13:TUQ27 TKU13:TKU27 TAY13:TAY27 SRC13:SRC27 SHG13:SHG27 RXK13:RXK27 RNO13:RNO27 RDS13:RDS27 QTW13:QTW27 QKA13:QKA27 QAE13:QAE27 PQI13:PQI27 PGM13:PGM27 OWQ13:OWQ27 OMU13:OMU27 OCY13:OCY27 NTC13:NTC27 NJG13:NJG27 MZK13:MZK27 MPO13:MPO27 MFS13:MFS27 LVW13:LVW27 LMA13:LMA27 LCE13:LCE27 KSI13:KSI27 KIM13:KIM27 JYQ13:JYQ27 JOU13:JOU27 JEY13:JEY27 IVC13:IVC27 ILG13:ILG27 IBK13:IBK27 HRO13:HRO27 HHS13:HHS27 GXW13:GXW27 GOA13:GOA27 GEE13:GEE27 FUI13:FUI27 FKM13:FKM27 FAQ13:FAQ27 EQU13:EQU27 EGY13:EGY27 DXC13:DXC27 DNG13:DNG27 DDK13:DDK27 CTO13:CTO27 CJS13:CJS27 BZW13:BZW27 BQA13:BQA27 BGE13:BGE27 AWI13:AWI27 AMM13:AMM27 ACQ13:ACQ27 SU13:SU27 IY13:IY27 WVK13:WVK27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>
    <oddHeader>&amp;LWojewództwo podlaskie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0"/>
  <sheetViews>
    <sheetView showGridLines="0" view="pageBreakPreview" zoomScale="50" zoomScaleNormal="100" zoomScaleSheetLayoutView="50" workbookViewId="0">
      <selection activeCell="N83" sqref="N83"/>
    </sheetView>
  </sheetViews>
  <sheetFormatPr defaultColWidth="9.140625" defaultRowHeight="15" x14ac:dyDescent="0.25"/>
  <cols>
    <col min="1" max="2" width="7.28515625" style="3" customWidth="1"/>
    <col min="3" max="3" width="17.28515625" style="3" customWidth="1"/>
    <col min="4" max="4" width="19.42578125" style="3" customWidth="1"/>
    <col min="5" max="5" width="15.7109375" style="3" customWidth="1"/>
    <col min="6" max="6" width="19.5703125" style="3" customWidth="1"/>
    <col min="7" max="7" width="65.7109375" style="3" customWidth="1"/>
    <col min="8" max="8" width="9.42578125" style="3" customWidth="1"/>
    <col min="9" max="9" width="13.28515625" style="3" customWidth="1"/>
    <col min="10" max="10" width="13.7109375" style="3" customWidth="1"/>
    <col min="11" max="11" width="15.7109375" style="4" customWidth="1"/>
    <col min="12" max="12" width="17.28515625" style="3" customWidth="1"/>
    <col min="13" max="13" width="15.7109375" style="3" customWidth="1"/>
    <col min="14" max="14" width="15.7109375" style="1" customWidth="1"/>
    <col min="15" max="26" width="15.7109375" style="3" customWidth="1"/>
    <col min="27" max="29" width="15.7109375" style="14" customWidth="1"/>
    <col min="30" max="30" width="15.7109375" style="3" customWidth="1"/>
    <col min="31" max="16384" width="9.140625" style="3"/>
  </cols>
  <sheetData>
    <row r="1" spans="1:30" ht="20.100000000000001" customHeight="1" x14ac:dyDescent="0.25">
      <c r="A1" s="349" t="s">
        <v>4</v>
      </c>
      <c r="B1" s="348" t="s">
        <v>5</v>
      </c>
      <c r="C1" s="356" t="s">
        <v>43</v>
      </c>
      <c r="D1" s="352" t="s">
        <v>6</v>
      </c>
      <c r="E1" s="348" t="s">
        <v>32</v>
      </c>
      <c r="F1" s="352" t="s">
        <v>15</v>
      </c>
      <c r="G1" s="348" t="s">
        <v>7</v>
      </c>
      <c r="H1" s="348" t="s">
        <v>26</v>
      </c>
      <c r="I1" s="348" t="s">
        <v>8</v>
      </c>
      <c r="J1" s="348" t="s">
        <v>27</v>
      </c>
      <c r="K1" s="349" t="s">
        <v>9</v>
      </c>
      <c r="L1" s="348" t="s">
        <v>17</v>
      </c>
      <c r="M1" s="352" t="s">
        <v>13</v>
      </c>
      <c r="N1" s="348" t="s">
        <v>11</v>
      </c>
      <c r="O1" s="357" t="s">
        <v>12</v>
      </c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</row>
    <row r="2" spans="1:30" ht="20.100000000000001" customHeight="1" x14ac:dyDescent="0.25">
      <c r="A2" s="349"/>
      <c r="B2" s="348"/>
      <c r="C2" s="357"/>
      <c r="D2" s="353"/>
      <c r="E2" s="348"/>
      <c r="F2" s="353"/>
      <c r="G2" s="348"/>
      <c r="H2" s="348"/>
      <c r="I2" s="348"/>
      <c r="J2" s="348"/>
      <c r="K2" s="349"/>
      <c r="L2" s="348"/>
      <c r="M2" s="353"/>
      <c r="N2" s="348"/>
      <c r="O2" s="37">
        <v>2019</v>
      </c>
      <c r="P2" s="37">
        <v>2020</v>
      </c>
      <c r="Q2" s="37">
        <v>2021</v>
      </c>
      <c r="R2" s="37">
        <v>2022</v>
      </c>
      <c r="S2" s="37">
        <v>2023</v>
      </c>
      <c r="T2" s="37">
        <v>2024</v>
      </c>
      <c r="U2" s="37">
        <v>2025</v>
      </c>
      <c r="V2" s="37">
        <v>2026</v>
      </c>
      <c r="W2" s="37">
        <v>2027</v>
      </c>
      <c r="X2" s="37">
        <v>2028</v>
      </c>
      <c r="Y2" s="134">
        <v>2029</v>
      </c>
      <c r="Z2" s="134">
        <v>2030</v>
      </c>
      <c r="AA2" s="1" t="s">
        <v>28</v>
      </c>
      <c r="AB2" s="1" t="s">
        <v>29</v>
      </c>
      <c r="AC2" s="1" t="s">
        <v>30</v>
      </c>
      <c r="AD2" s="42" t="s">
        <v>31</v>
      </c>
    </row>
    <row r="3" spans="1:30" ht="37.5" customHeight="1" x14ac:dyDescent="0.25">
      <c r="A3" s="155">
        <v>1</v>
      </c>
      <c r="B3" s="144">
        <v>177</v>
      </c>
      <c r="C3" s="144" t="s">
        <v>79</v>
      </c>
      <c r="D3" s="144" t="s">
        <v>146</v>
      </c>
      <c r="E3" s="177">
        <v>2003052</v>
      </c>
      <c r="F3" s="144" t="s">
        <v>66</v>
      </c>
      <c r="G3" s="146" t="s">
        <v>147</v>
      </c>
      <c r="H3" s="147" t="s">
        <v>83</v>
      </c>
      <c r="I3" s="148">
        <v>2.0150000000000001</v>
      </c>
      <c r="J3" s="149" t="s">
        <v>148</v>
      </c>
      <c r="K3" s="150">
        <v>4726901</v>
      </c>
      <c r="L3" s="157">
        <f>ROUNDDOWN(K3*N3,2)</f>
        <v>2836140.6</v>
      </c>
      <c r="M3" s="150">
        <f t="shared" ref="M3:M7" si="0">K3-L3</f>
        <v>1890760.4</v>
      </c>
      <c r="N3" s="159">
        <v>0.6</v>
      </c>
      <c r="O3" s="153">
        <v>0</v>
      </c>
      <c r="P3" s="153">
        <v>0</v>
      </c>
      <c r="Q3" s="176">
        <v>0</v>
      </c>
      <c r="R3" s="153">
        <v>0</v>
      </c>
      <c r="S3" s="154">
        <f>215501*N3</f>
        <v>129300.59999999999</v>
      </c>
      <c r="T3" s="153">
        <f>4511400*N3</f>
        <v>2706840</v>
      </c>
      <c r="U3" s="154">
        <v>0</v>
      </c>
      <c r="V3" s="154">
        <v>0</v>
      </c>
      <c r="W3" s="154">
        <v>0</v>
      </c>
      <c r="X3" s="154">
        <v>0</v>
      </c>
      <c r="Y3" s="154">
        <v>0</v>
      </c>
      <c r="Z3" s="154">
        <v>0</v>
      </c>
      <c r="AA3" s="1" t="b">
        <f t="shared" ref="AA3:AA104" si="1">L3=SUM(O3:Z3)</f>
        <v>1</v>
      </c>
      <c r="AB3" s="43">
        <f t="shared" ref="AB3:AB103" si="2">ROUND(L3/K3,4)</f>
        <v>0.6</v>
      </c>
      <c r="AC3" s="44" t="b">
        <f t="shared" ref="AC3:AC65" si="3">AB3=N3</f>
        <v>1</v>
      </c>
      <c r="AD3" s="44" t="b">
        <f t="shared" ref="AD3:AD103" si="4">K3=L3+M3</f>
        <v>1</v>
      </c>
    </row>
    <row r="4" spans="1:30" ht="37.5" customHeight="1" x14ac:dyDescent="0.25">
      <c r="A4" s="155">
        <v>2</v>
      </c>
      <c r="B4" s="144">
        <v>331</v>
      </c>
      <c r="C4" s="144" t="s">
        <v>79</v>
      </c>
      <c r="D4" s="144" t="s">
        <v>149</v>
      </c>
      <c r="E4" s="177">
        <v>2007022</v>
      </c>
      <c r="F4" s="144" t="s">
        <v>70</v>
      </c>
      <c r="G4" s="146" t="s">
        <v>150</v>
      </c>
      <c r="H4" s="147" t="s">
        <v>83</v>
      </c>
      <c r="I4" s="148">
        <v>1.04</v>
      </c>
      <c r="J4" s="149" t="s">
        <v>151</v>
      </c>
      <c r="K4" s="150">
        <v>4119385.22</v>
      </c>
      <c r="L4" s="157">
        <f>ROUNDDOWN(K4*N4,2)</f>
        <v>2471631.13</v>
      </c>
      <c r="M4" s="150">
        <f t="shared" si="0"/>
        <v>1647754.0900000003</v>
      </c>
      <c r="N4" s="159">
        <v>0.6</v>
      </c>
      <c r="O4" s="153">
        <v>0</v>
      </c>
      <c r="P4" s="153">
        <v>0</v>
      </c>
      <c r="Q4" s="176">
        <v>0</v>
      </c>
      <c r="R4" s="153">
        <v>0</v>
      </c>
      <c r="S4" s="153">
        <f>151000*N4</f>
        <v>90600</v>
      </c>
      <c r="T4" s="153">
        <v>1190995.57</v>
      </c>
      <c r="U4" s="153">
        <v>1190035.56</v>
      </c>
      <c r="V4" s="154">
        <v>0</v>
      </c>
      <c r="W4" s="154">
        <v>0</v>
      </c>
      <c r="X4" s="154">
        <v>0</v>
      </c>
      <c r="Y4" s="154">
        <v>0</v>
      </c>
      <c r="Z4" s="154">
        <v>0</v>
      </c>
      <c r="AA4" s="1" t="b">
        <f t="shared" si="1"/>
        <v>1</v>
      </c>
      <c r="AB4" s="43">
        <f t="shared" si="2"/>
        <v>0.6</v>
      </c>
      <c r="AC4" s="44" t="b">
        <f t="shared" si="3"/>
        <v>1</v>
      </c>
      <c r="AD4" s="44" t="b">
        <f t="shared" si="4"/>
        <v>1</v>
      </c>
    </row>
    <row r="5" spans="1:30" ht="37.5" customHeight="1" x14ac:dyDescent="0.25">
      <c r="A5" s="155">
        <v>3</v>
      </c>
      <c r="B5" s="144">
        <v>290</v>
      </c>
      <c r="C5" s="144" t="s">
        <v>79</v>
      </c>
      <c r="D5" s="144" t="s">
        <v>152</v>
      </c>
      <c r="E5" s="177">
        <v>2006022</v>
      </c>
      <c r="F5" s="144" t="s">
        <v>69</v>
      </c>
      <c r="G5" s="146" t="s">
        <v>153</v>
      </c>
      <c r="H5" s="147" t="s">
        <v>83</v>
      </c>
      <c r="I5" s="148">
        <v>0.73599999999999999</v>
      </c>
      <c r="J5" s="149" t="s">
        <v>154</v>
      </c>
      <c r="K5" s="150">
        <v>1031611.98</v>
      </c>
      <c r="L5" s="157">
        <f>ROUNDDOWN(K5*N5,2)</f>
        <v>618967.18000000005</v>
      </c>
      <c r="M5" s="150">
        <f t="shared" si="0"/>
        <v>412644.79999999993</v>
      </c>
      <c r="N5" s="159">
        <v>0.6</v>
      </c>
      <c r="O5" s="153">
        <v>0</v>
      </c>
      <c r="P5" s="153">
        <v>0</v>
      </c>
      <c r="Q5" s="176">
        <v>0</v>
      </c>
      <c r="R5" s="153">
        <v>0</v>
      </c>
      <c r="S5" s="153">
        <v>1572.84</v>
      </c>
      <c r="T5" s="153">
        <v>617394.34</v>
      </c>
      <c r="U5" s="154">
        <v>0</v>
      </c>
      <c r="V5" s="154">
        <v>0</v>
      </c>
      <c r="W5" s="154">
        <v>0</v>
      </c>
      <c r="X5" s="154">
        <v>0</v>
      </c>
      <c r="Y5" s="154">
        <v>0</v>
      </c>
      <c r="Z5" s="154">
        <v>0</v>
      </c>
      <c r="AA5" s="1" t="b">
        <f t="shared" si="1"/>
        <v>1</v>
      </c>
      <c r="AB5" s="43">
        <f t="shared" si="2"/>
        <v>0.6</v>
      </c>
      <c r="AC5" s="44" t="b">
        <f t="shared" si="3"/>
        <v>1</v>
      </c>
      <c r="AD5" s="44" t="b">
        <f t="shared" si="4"/>
        <v>1</v>
      </c>
    </row>
    <row r="6" spans="1:30" s="168" customFormat="1" ht="37.5" customHeight="1" x14ac:dyDescent="0.25">
      <c r="A6" s="155">
        <v>4</v>
      </c>
      <c r="B6" s="144">
        <v>245</v>
      </c>
      <c r="C6" s="144" t="s">
        <v>79</v>
      </c>
      <c r="D6" s="144" t="s">
        <v>59</v>
      </c>
      <c r="E6" s="144">
        <v>2011</v>
      </c>
      <c r="F6" s="144" t="s">
        <v>74</v>
      </c>
      <c r="G6" s="160" t="s">
        <v>155</v>
      </c>
      <c r="H6" s="147" t="s">
        <v>85</v>
      </c>
      <c r="I6" s="148">
        <v>4.2450000000000001</v>
      </c>
      <c r="J6" s="149" t="s">
        <v>156</v>
      </c>
      <c r="K6" s="281">
        <v>12009000</v>
      </c>
      <c r="L6" s="151">
        <f t="shared" ref="L6:L7" si="5">ROUNDDOWN(K6*N6,2)</f>
        <v>7205400</v>
      </c>
      <c r="M6" s="57">
        <f t="shared" si="0"/>
        <v>4803600</v>
      </c>
      <c r="N6" s="152">
        <v>0.6</v>
      </c>
      <c r="O6" s="153">
        <v>0</v>
      </c>
      <c r="P6" s="153">
        <v>0</v>
      </c>
      <c r="Q6" s="176">
        <v>0</v>
      </c>
      <c r="R6" s="153">
        <v>0</v>
      </c>
      <c r="S6" s="153">
        <v>0</v>
      </c>
      <c r="T6" s="153">
        <f>5009000*N6</f>
        <v>3005400</v>
      </c>
      <c r="U6" s="153">
        <f>4000000*N6</f>
        <v>2400000</v>
      </c>
      <c r="V6" s="153">
        <f>3000000*N6</f>
        <v>1800000</v>
      </c>
      <c r="W6" s="154">
        <v>0</v>
      </c>
      <c r="X6" s="154">
        <v>0</v>
      </c>
      <c r="Y6" s="154">
        <v>0</v>
      </c>
      <c r="Z6" s="154">
        <v>0</v>
      </c>
      <c r="AA6" s="1" t="b">
        <f t="shared" si="1"/>
        <v>1</v>
      </c>
      <c r="AB6" s="43">
        <f t="shared" si="2"/>
        <v>0.6</v>
      </c>
      <c r="AC6" s="44" t="b">
        <f t="shared" si="3"/>
        <v>1</v>
      </c>
      <c r="AD6" s="44" t="b">
        <f t="shared" si="4"/>
        <v>1</v>
      </c>
    </row>
    <row r="7" spans="1:30" s="168" customFormat="1" ht="37.5" customHeight="1" x14ac:dyDescent="0.25">
      <c r="A7" s="155">
        <v>5</v>
      </c>
      <c r="B7" s="144">
        <v>227</v>
      </c>
      <c r="C7" s="145" t="s">
        <v>79</v>
      </c>
      <c r="D7" s="144" t="s">
        <v>157</v>
      </c>
      <c r="E7" s="144">
        <v>2002145</v>
      </c>
      <c r="F7" s="144" t="s">
        <v>64</v>
      </c>
      <c r="G7" s="160" t="s">
        <v>158</v>
      </c>
      <c r="H7" s="147" t="s">
        <v>83</v>
      </c>
      <c r="I7" s="148">
        <v>3.88</v>
      </c>
      <c r="J7" s="149" t="s">
        <v>159</v>
      </c>
      <c r="K7" s="281">
        <v>9208000</v>
      </c>
      <c r="L7" s="151">
        <f t="shared" si="5"/>
        <v>5524800</v>
      </c>
      <c r="M7" s="57">
        <f t="shared" si="0"/>
        <v>3683200</v>
      </c>
      <c r="N7" s="152">
        <v>0.6</v>
      </c>
      <c r="O7" s="153">
        <v>0</v>
      </c>
      <c r="P7" s="153">
        <v>0</v>
      </c>
      <c r="Q7" s="176">
        <v>0</v>
      </c>
      <c r="R7" s="153">
        <v>0</v>
      </c>
      <c r="S7" s="153">
        <v>0</v>
      </c>
      <c r="T7" s="154">
        <f>4200000*N7</f>
        <v>2520000</v>
      </c>
      <c r="U7" s="153">
        <f>2504000*N7</f>
        <v>1502400</v>
      </c>
      <c r="V7" s="153">
        <f>2504000*N7</f>
        <v>1502400</v>
      </c>
      <c r="W7" s="154">
        <v>0</v>
      </c>
      <c r="X7" s="154">
        <v>0</v>
      </c>
      <c r="Y7" s="154">
        <v>0</v>
      </c>
      <c r="Z7" s="154">
        <v>0</v>
      </c>
      <c r="AA7" s="1" t="b">
        <f t="shared" si="1"/>
        <v>1</v>
      </c>
      <c r="AB7" s="43">
        <f t="shared" si="2"/>
        <v>0.6</v>
      </c>
      <c r="AC7" s="44" t="b">
        <f t="shared" si="3"/>
        <v>1</v>
      </c>
      <c r="AD7" s="44" t="b">
        <f t="shared" si="4"/>
        <v>1</v>
      </c>
    </row>
    <row r="8" spans="1:30" s="171" customFormat="1" ht="37.5" customHeight="1" x14ac:dyDescent="0.25">
      <c r="A8" s="280">
        <v>6</v>
      </c>
      <c r="B8" s="265">
        <v>319</v>
      </c>
      <c r="C8" s="265" t="s">
        <v>79</v>
      </c>
      <c r="D8" s="265" t="s">
        <v>514</v>
      </c>
      <c r="E8" s="265">
        <v>2013062</v>
      </c>
      <c r="F8" s="265" t="s">
        <v>77</v>
      </c>
      <c r="G8" s="266" t="s">
        <v>161</v>
      </c>
      <c r="H8" s="267" t="s">
        <v>87</v>
      </c>
      <c r="I8" s="268">
        <v>3.72</v>
      </c>
      <c r="J8" s="276" t="s">
        <v>515</v>
      </c>
      <c r="K8" s="282">
        <v>2170780.36</v>
      </c>
      <c r="L8" s="270">
        <v>1302468.22</v>
      </c>
      <c r="M8" s="271">
        <f>ROUNDDOWN(K8-L8,2)</f>
        <v>868312.14</v>
      </c>
      <c r="N8" s="272">
        <v>0.6</v>
      </c>
      <c r="O8" s="273">
        <v>0</v>
      </c>
      <c r="P8" s="273">
        <v>0</v>
      </c>
      <c r="Q8" s="283">
        <v>0</v>
      </c>
      <c r="R8" s="273">
        <v>0</v>
      </c>
      <c r="S8" s="273">
        <v>0</v>
      </c>
      <c r="T8" s="275">
        <v>651559.56000000006</v>
      </c>
      <c r="U8" s="273">
        <v>650908.66</v>
      </c>
      <c r="V8" s="275">
        <v>0</v>
      </c>
      <c r="W8" s="275">
        <v>0</v>
      </c>
      <c r="X8" s="275">
        <v>0</v>
      </c>
      <c r="Y8" s="275">
        <v>0</v>
      </c>
      <c r="Z8" s="275">
        <v>0</v>
      </c>
      <c r="AA8" s="1" t="b">
        <f t="shared" si="1"/>
        <v>1</v>
      </c>
      <c r="AB8" s="43">
        <f t="shared" si="2"/>
        <v>0.6</v>
      </c>
      <c r="AC8" s="44" t="b">
        <f t="shared" si="3"/>
        <v>1</v>
      </c>
      <c r="AD8" s="44" t="b">
        <f t="shared" si="4"/>
        <v>1</v>
      </c>
    </row>
    <row r="9" spans="1:30" s="171" customFormat="1" ht="37.5" customHeight="1" x14ac:dyDescent="0.25">
      <c r="A9" s="280">
        <v>7</v>
      </c>
      <c r="B9" s="265">
        <v>302</v>
      </c>
      <c r="C9" s="284" t="s">
        <v>79</v>
      </c>
      <c r="D9" s="265" t="s">
        <v>162</v>
      </c>
      <c r="E9" s="265">
        <v>2010042</v>
      </c>
      <c r="F9" s="265" t="s">
        <v>73</v>
      </c>
      <c r="G9" s="266" t="s">
        <v>163</v>
      </c>
      <c r="H9" s="267" t="s">
        <v>83</v>
      </c>
      <c r="I9" s="268">
        <v>3.004</v>
      </c>
      <c r="J9" s="276" t="s">
        <v>164</v>
      </c>
      <c r="K9" s="282">
        <v>4595449.53</v>
      </c>
      <c r="L9" s="270">
        <f t="shared" ref="L9:L17" si="6">ROUNDDOWN(K9*N9,2)</f>
        <v>2757269.71</v>
      </c>
      <c r="M9" s="271">
        <f t="shared" ref="M9:M29" si="7">K9-L9</f>
        <v>1838179.8200000003</v>
      </c>
      <c r="N9" s="272">
        <v>0.6</v>
      </c>
      <c r="O9" s="273">
        <v>0</v>
      </c>
      <c r="P9" s="273">
        <v>0</v>
      </c>
      <c r="Q9" s="283">
        <v>0</v>
      </c>
      <c r="R9" s="273">
        <v>0</v>
      </c>
      <c r="S9" s="273">
        <v>0</v>
      </c>
      <c r="T9" s="275">
        <f>3000*N9</f>
        <v>1800</v>
      </c>
      <c r="U9" s="273">
        <f>ROUNDDOWN(4592449.53*N9,2)</f>
        <v>2755469.71</v>
      </c>
      <c r="V9" s="275">
        <v>0</v>
      </c>
      <c r="W9" s="275">
        <v>0</v>
      </c>
      <c r="X9" s="275">
        <v>0</v>
      </c>
      <c r="Y9" s="275">
        <v>0</v>
      </c>
      <c r="Z9" s="275">
        <v>0</v>
      </c>
      <c r="AA9" s="1" t="b">
        <f t="shared" si="1"/>
        <v>1</v>
      </c>
      <c r="AB9" s="43">
        <f t="shared" si="2"/>
        <v>0.6</v>
      </c>
      <c r="AC9" s="44" t="b">
        <f t="shared" si="3"/>
        <v>1</v>
      </c>
      <c r="AD9" s="44" t="b">
        <f t="shared" si="4"/>
        <v>1</v>
      </c>
    </row>
    <row r="10" spans="1:30" s="171" customFormat="1" ht="37.5" customHeight="1" x14ac:dyDescent="0.25">
      <c r="A10" s="280">
        <v>8</v>
      </c>
      <c r="B10" s="265">
        <v>152</v>
      </c>
      <c r="C10" s="265" t="s">
        <v>79</v>
      </c>
      <c r="D10" s="265" t="s">
        <v>165</v>
      </c>
      <c r="E10" s="265">
        <v>2013011</v>
      </c>
      <c r="F10" s="265" t="s">
        <v>77</v>
      </c>
      <c r="G10" s="266" t="s">
        <v>166</v>
      </c>
      <c r="H10" s="267" t="s">
        <v>85</v>
      </c>
      <c r="I10" s="268">
        <v>2.8140000000000001</v>
      </c>
      <c r="J10" s="276" t="s">
        <v>167</v>
      </c>
      <c r="K10" s="282">
        <v>18447738.719999999</v>
      </c>
      <c r="L10" s="270">
        <f t="shared" si="6"/>
        <v>11068643.23</v>
      </c>
      <c r="M10" s="271">
        <f t="shared" si="7"/>
        <v>7379095.4899999984</v>
      </c>
      <c r="N10" s="272">
        <v>0.6</v>
      </c>
      <c r="O10" s="273">
        <v>0</v>
      </c>
      <c r="P10" s="273">
        <v>0</v>
      </c>
      <c r="Q10" s="283">
        <v>0</v>
      </c>
      <c r="R10" s="273">
        <v>0</v>
      </c>
      <c r="S10" s="273">
        <v>0</v>
      </c>
      <c r="T10" s="273">
        <v>2215311.0099999998</v>
      </c>
      <c r="U10" s="273">
        <v>4430622.0199999996</v>
      </c>
      <c r="V10" s="273">
        <v>4422710.2</v>
      </c>
      <c r="W10" s="275">
        <v>0</v>
      </c>
      <c r="X10" s="275">
        <v>0</v>
      </c>
      <c r="Y10" s="275">
        <v>0</v>
      </c>
      <c r="Z10" s="275">
        <v>0</v>
      </c>
      <c r="AA10" s="1" t="b">
        <f t="shared" si="1"/>
        <v>1</v>
      </c>
      <c r="AB10" s="43">
        <f t="shared" si="2"/>
        <v>0.6</v>
      </c>
      <c r="AC10" s="44" t="b">
        <f t="shared" si="3"/>
        <v>1</v>
      </c>
      <c r="AD10" s="44" t="b">
        <f t="shared" si="4"/>
        <v>1</v>
      </c>
    </row>
    <row r="11" spans="1:30" s="171" customFormat="1" ht="37.5" customHeight="1" x14ac:dyDescent="0.25">
      <c r="A11" s="280">
        <v>9</v>
      </c>
      <c r="B11" s="265">
        <v>129</v>
      </c>
      <c r="C11" s="265" t="s">
        <v>79</v>
      </c>
      <c r="D11" s="265" t="s">
        <v>516</v>
      </c>
      <c r="E11" s="265">
        <v>2013102</v>
      </c>
      <c r="F11" s="265" t="s">
        <v>77</v>
      </c>
      <c r="G11" s="266" t="s">
        <v>168</v>
      </c>
      <c r="H11" s="267" t="s">
        <v>85</v>
      </c>
      <c r="I11" s="268">
        <v>2.0099999999999998</v>
      </c>
      <c r="J11" s="276" t="s">
        <v>185</v>
      </c>
      <c r="K11" s="282">
        <v>5012291.13</v>
      </c>
      <c r="L11" s="270">
        <f t="shared" si="6"/>
        <v>3007374.67</v>
      </c>
      <c r="M11" s="271">
        <f t="shared" si="7"/>
        <v>2004916.46</v>
      </c>
      <c r="N11" s="272">
        <v>0.6</v>
      </c>
      <c r="O11" s="273">
        <v>0</v>
      </c>
      <c r="P11" s="273">
        <v>0</v>
      </c>
      <c r="Q11" s="283">
        <v>0</v>
      </c>
      <c r="R11" s="273">
        <v>0</v>
      </c>
      <c r="S11" s="273">
        <v>0</v>
      </c>
      <c r="T11" s="273">
        <v>1503687.33</v>
      </c>
      <c r="U11" s="273">
        <v>1503687.34</v>
      </c>
      <c r="V11" s="275">
        <v>0</v>
      </c>
      <c r="W11" s="275">
        <v>0</v>
      </c>
      <c r="X11" s="275">
        <v>0</v>
      </c>
      <c r="Y11" s="275">
        <v>0</v>
      </c>
      <c r="Z11" s="275">
        <v>0</v>
      </c>
      <c r="AA11" s="1" t="b">
        <f t="shared" si="1"/>
        <v>1</v>
      </c>
      <c r="AB11" s="43">
        <f t="shared" si="2"/>
        <v>0.6</v>
      </c>
      <c r="AC11" s="44" t="b">
        <f t="shared" si="3"/>
        <v>1</v>
      </c>
      <c r="AD11" s="44" t="b">
        <f t="shared" si="4"/>
        <v>1</v>
      </c>
    </row>
    <row r="12" spans="1:30" s="180" customFormat="1" ht="37.5" customHeight="1" x14ac:dyDescent="0.25">
      <c r="A12" s="280">
        <v>10</v>
      </c>
      <c r="B12" s="265">
        <v>1</v>
      </c>
      <c r="C12" s="284" t="s">
        <v>79</v>
      </c>
      <c r="D12" s="285" t="s">
        <v>517</v>
      </c>
      <c r="E12" s="286">
        <v>2002082</v>
      </c>
      <c r="F12" s="285" t="s">
        <v>64</v>
      </c>
      <c r="G12" s="266" t="s">
        <v>170</v>
      </c>
      <c r="H12" s="265" t="s">
        <v>85</v>
      </c>
      <c r="I12" s="268">
        <v>1.905</v>
      </c>
      <c r="J12" s="144" t="s">
        <v>539</v>
      </c>
      <c r="K12" s="282">
        <v>3062257.91</v>
      </c>
      <c r="L12" s="270">
        <f t="shared" si="6"/>
        <v>1837354.74</v>
      </c>
      <c r="M12" s="271">
        <f t="shared" si="7"/>
        <v>1224903.1700000002</v>
      </c>
      <c r="N12" s="272">
        <v>0.6</v>
      </c>
      <c r="O12" s="273">
        <v>0</v>
      </c>
      <c r="P12" s="273">
        <v>0</v>
      </c>
      <c r="Q12" s="283">
        <v>0</v>
      </c>
      <c r="R12" s="273">
        <v>0</v>
      </c>
      <c r="S12" s="273">
        <v>0</v>
      </c>
      <c r="T12" s="275">
        <v>917207.49</v>
      </c>
      <c r="U12" s="273">
        <v>920147.25</v>
      </c>
      <c r="V12" s="275">
        <v>0</v>
      </c>
      <c r="W12" s="275">
        <v>0</v>
      </c>
      <c r="X12" s="275">
        <v>0</v>
      </c>
      <c r="Y12" s="275">
        <v>0</v>
      </c>
      <c r="Z12" s="275">
        <v>0</v>
      </c>
      <c r="AA12" s="1" t="b">
        <f t="shared" si="1"/>
        <v>1</v>
      </c>
      <c r="AB12" s="43">
        <f t="shared" si="2"/>
        <v>0.6</v>
      </c>
      <c r="AC12" s="44" t="b">
        <f t="shared" si="3"/>
        <v>1</v>
      </c>
      <c r="AD12" s="44" t="b">
        <f t="shared" si="4"/>
        <v>1</v>
      </c>
    </row>
    <row r="13" spans="1:30" s="180" customFormat="1" ht="37.5" customHeight="1" x14ac:dyDescent="0.25">
      <c r="A13" s="280">
        <v>11</v>
      </c>
      <c r="B13" s="265">
        <v>159</v>
      </c>
      <c r="C13" s="284" t="s">
        <v>79</v>
      </c>
      <c r="D13" s="265" t="s">
        <v>518</v>
      </c>
      <c r="E13" s="265">
        <v>2010072</v>
      </c>
      <c r="F13" s="265" t="s">
        <v>73</v>
      </c>
      <c r="G13" s="266" t="s">
        <v>172</v>
      </c>
      <c r="H13" s="267" t="s">
        <v>83</v>
      </c>
      <c r="I13" s="268">
        <v>1.595</v>
      </c>
      <c r="J13" s="276" t="s">
        <v>519</v>
      </c>
      <c r="K13" s="282">
        <v>2775834.91</v>
      </c>
      <c r="L13" s="270">
        <f t="shared" si="6"/>
        <v>1665500.94</v>
      </c>
      <c r="M13" s="271">
        <f t="shared" si="7"/>
        <v>1110333.9700000002</v>
      </c>
      <c r="N13" s="272">
        <v>0.6</v>
      </c>
      <c r="O13" s="273">
        <v>0</v>
      </c>
      <c r="P13" s="273">
        <v>0</v>
      </c>
      <c r="Q13" s="283">
        <v>0</v>
      </c>
      <c r="R13" s="273">
        <v>0</v>
      </c>
      <c r="S13" s="273">
        <v>0</v>
      </c>
      <c r="T13" s="273">
        <v>668290.29</v>
      </c>
      <c r="U13" s="273">
        <v>997210.65</v>
      </c>
      <c r="V13" s="275">
        <v>0</v>
      </c>
      <c r="W13" s="275">
        <v>0</v>
      </c>
      <c r="X13" s="275">
        <v>0</v>
      </c>
      <c r="Y13" s="275">
        <v>0</v>
      </c>
      <c r="Z13" s="275">
        <v>0</v>
      </c>
      <c r="AA13" s="1" t="b">
        <f t="shared" si="1"/>
        <v>1</v>
      </c>
      <c r="AB13" s="43">
        <f t="shared" si="2"/>
        <v>0.6</v>
      </c>
      <c r="AC13" s="44" t="b">
        <f t="shared" si="3"/>
        <v>1</v>
      </c>
      <c r="AD13" s="44" t="b">
        <f t="shared" si="4"/>
        <v>1</v>
      </c>
    </row>
    <row r="14" spans="1:30" s="171" customFormat="1" ht="37.5" customHeight="1" x14ac:dyDescent="0.25">
      <c r="A14" s="155">
        <v>12</v>
      </c>
      <c r="B14" s="144">
        <v>316</v>
      </c>
      <c r="C14" s="145" t="s">
        <v>79</v>
      </c>
      <c r="D14" s="144" t="s">
        <v>144</v>
      </c>
      <c r="E14" s="144">
        <v>2012022</v>
      </c>
      <c r="F14" s="144" t="s">
        <v>75</v>
      </c>
      <c r="G14" s="160" t="s">
        <v>173</v>
      </c>
      <c r="H14" s="147" t="s">
        <v>85</v>
      </c>
      <c r="I14" s="148">
        <v>1.5</v>
      </c>
      <c r="J14" s="149" t="s">
        <v>174</v>
      </c>
      <c r="K14" s="281">
        <v>2695800.85</v>
      </c>
      <c r="L14" s="151">
        <f t="shared" si="6"/>
        <v>1617480.51</v>
      </c>
      <c r="M14" s="57">
        <f t="shared" si="7"/>
        <v>1078320.3400000001</v>
      </c>
      <c r="N14" s="152">
        <v>0.6</v>
      </c>
      <c r="O14" s="153">
        <v>0</v>
      </c>
      <c r="P14" s="153">
        <v>0</v>
      </c>
      <c r="Q14" s="176">
        <v>0</v>
      </c>
      <c r="R14" s="153">
        <v>0</v>
      </c>
      <c r="S14" s="153">
        <v>0</v>
      </c>
      <c r="T14" s="154">
        <v>12907.73</v>
      </c>
      <c r="U14" s="153">
        <v>1604572.78</v>
      </c>
      <c r="V14" s="154">
        <v>0</v>
      </c>
      <c r="W14" s="154">
        <v>0</v>
      </c>
      <c r="X14" s="154">
        <v>0</v>
      </c>
      <c r="Y14" s="154">
        <v>0</v>
      </c>
      <c r="Z14" s="154">
        <v>0</v>
      </c>
      <c r="AA14" s="1" t="b">
        <f t="shared" si="1"/>
        <v>1</v>
      </c>
      <c r="AB14" s="43">
        <f t="shared" si="2"/>
        <v>0.6</v>
      </c>
      <c r="AC14" s="44" t="b">
        <f t="shared" si="3"/>
        <v>1</v>
      </c>
      <c r="AD14" s="44" t="b">
        <f t="shared" si="4"/>
        <v>1</v>
      </c>
    </row>
    <row r="15" spans="1:30" s="171" customFormat="1" ht="37.5" customHeight="1" x14ac:dyDescent="0.25">
      <c r="A15" s="155">
        <v>13</v>
      </c>
      <c r="B15" s="144">
        <v>291</v>
      </c>
      <c r="C15" s="145" t="s">
        <v>79</v>
      </c>
      <c r="D15" s="144" t="s">
        <v>145</v>
      </c>
      <c r="E15" s="144">
        <v>2011072</v>
      </c>
      <c r="F15" s="144" t="s">
        <v>74</v>
      </c>
      <c r="G15" s="160" t="s">
        <v>175</v>
      </c>
      <c r="H15" s="147" t="s">
        <v>83</v>
      </c>
      <c r="I15" s="148">
        <v>1.45</v>
      </c>
      <c r="J15" s="149" t="s">
        <v>176</v>
      </c>
      <c r="K15" s="281">
        <v>2824675</v>
      </c>
      <c r="L15" s="151">
        <f t="shared" si="6"/>
        <v>1694805</v>
      </c>
      <c r="M15" s="57">
        <f t="shared" si="7"/>
        <v>1129870</v>
      </c>
      <c r="N15" s="152">
        <v>0.6</v>
      </c>
      <c r="O15" s="153">
        <v>0</v>
      </c>
      <c r="P15" s="153">
        <v>0</v>
      </c>
      <c r="Q15" s="176">
        <v>0</v>
      </c>
      <c r="R15" s="153">
        <v>0</v>
      </c>
      <c r="S15" s="153">
        <v>0</v>
      </c>
      <c r="T15" s="153">
        <f>2723875*N15</f>
        <v>1634325</v>
      </c>
      <c r="U15" s="153">
        <f>100800*N15</f>
        <v>60480</v>
      </c>
      <c r="V15" s="154">
        <v>0</v>
      </c>
      <c r="W15" s="154">
        <v>0</v>
      </c>
      <c r="X15" s="154">
        <v>0</v>
      </c>
      <c r="Y15" s="154">
        <v>0</v>
      </c>
      <c r="Z15" s="154">
        <v>0</v>
      </c>
      <c r="AA15" s="1" t="b">
        <f t="shared" si="1"/>
        <v>1</v>
      </c>
      <c r="AB15" s="43">
        <f t="shared" si="2"/>
        <v>0.6</v>
      </c>
      <c r="AC15" s="44" t="b">
        <f t="shared" si="3"/>
        <v>1</v>
      </c>
      <c r="AD15" s="44" t="b">
        <f t="shared" si="4"/>
        <v>1</v>
      </c>
    </row>
    <row r="16" spans="1:30" s="171" customFormat="1" ht="37.5" customHeight="1" x14ac:dyDescent="0.25">
      <c r="A16" s="155">
        <v>14</v>
      </c>
      <c r="B16" s="144">
        <v>293</v>
      </c>
      <c r="C16" s="145" t="s">
        <v>79</v>
      </c>
      <c r="D16" s="144" t="s">
        <v>177</v>
      </c>
      <c r="E16" s="144">
        <v>2001062</v>
      </c>
      <c r="F16" s="144" t="s">
        <v>63</v>
      </c>
      <c r="G16" s="160" t="s">
        <v>178</v>
      </c>
      <c r="H16" s="147" t="s">
        <v>85</v>
      </c>
      <c r="I16" s="148">
        <v>1.37</v>
      </c>
      <c r="J16" s="149" t="s">
        <v>179</v>
      </c>
      <c r="K16" s="281">
        <v>3256500</v>
      </c>
      <c r="L16" s="151">
        <f t="shared" si="6"/>
        <v>1953900</v>
      </c>
      <c r="M16" s="57">
        <f t="shared" si="7"/>
        <v>1302600</v>
      </c>
      <c r="N16" s="152">
        <v>0.6</v>
      </c>
      <c r="O16" s="153">
        <v>0</v>
      </c>
      <c r="P16" s="153">
        <v>0</v>
      </c>
      <c r="Q16" s="176">
        <v>0</v>
      </c>
      <c r="R16" s="153">
        <v>0</v>
      </c>
      <c r="S16" s="153">
        <v>0</v>
      </c>
      <c r="T16" s="153">
        <f>1606500*N16</f>
        <v>963900</v>
      </c>
      <c r="U16" s="153">
        <f>1650000*N16</f>
        <v>990000</v>
      </c>
      <c r="V16" s="154">
        <v>0</v>
      </c>
      <c r="W16" s="154">
        <v>0</v>
      </c>
      <c r="X16" s="154">
        <v>0</v>
      </c>
      <c r="Y16" s="154">
        <v>0</v>
      </c>
      <c r="Z16" s="154">
        <v>0</v>
      </c>
      <c r="AA16" s="1" t="b">
        <f t="shared" si="1"/>
        <v>1</v>
      </c>
      <c r="AB16" s="43">
        <f t="shared" si="2"/>
        <v>0.6</v>
      </c>
      <c r="AC16" s="44" t="b">
        <f t="shared" si="3"/>
        <v>1</v>
      </c>
      <c r="AD16" s="44" t="b">
        <f t="shared" si="4"/>
        <v>1</v>
      </c>
    </row>
    <row r="17" spans="1:30" s="180" customFormat="1" ht="37.5" customHeight="1" x14ac:dyDescent="0.25">
      <c r="A17" s="155">
        <v>15</v>
      </c>
      <c r="B17" s="144">
        <v>37</v>
      </c>
      <c r="C17" s="145" t="s">
        <v>79</v>
      </c>
      <c r="D17" s="144" t="s">
        <v>180</v>
      </c>
      <c r="E17" s="144">
        <v>2010023</v>
      </c>
      <c r="F17" s="144" t="s">
        <v>73</v>
      </c>
      <c r="G17" s="160" t="s">
        <v>181</v>
      </c>
      <c r="H17" s="147" t="s">
        <v>85</v>
      </c>
      <c r="I17" s="148">
        <v>1.282</v>
      </c>
      <c r="J17" s="144" t="s">
        <v>182</v>
      </c>
      <c r="K17" s="281">
        <v>3807000</v>
      </c>
      <c r="L17" s="151">
        <f t="shared" si="6"/>
        <v>2284200</v>
      </c>
      <c r="M17" s="57">
        <f t="shared" si="7"/>
        <v>1522800</v>
      </c>
      <c r="N17" s="152">
        <v>0.6</v>
      </c>
      <c r="O17" s="153">
        <v>0</v>
      </c>
      <c r="P17" s="153">
        <v>0</v>
      </c>
      <c r="Q17" s="176">
        <v>0</v>
      </c>
      <c r="R17" s="153">
        <v>0</v>
      </c>
      <c r="S17" s="153">
        <v>0</v>
      </c>
      <c r="T17" s="154">
        <f>2500*N17</f>
        <v>1500</v>
      </c>
      <c r="U17" s="153">
        <f>3804500*N17</f>
        <v>2282700</v>
      </c>
      <c r="V17" s="154">
        <v>0</v>
      </c>
      <c r="W17" s="154">
        <v>0</v>
      </c>
      <c r="X17" s="154">
        <v>0</v>
      </c>
      <c r="Y17" s="154">
        <v>0</v>
      </c>
      <c r="Z17" s="154">
        <v>0</v>
      </c>
      <c r="AA17" s="1" t="b">
        <f t="shared" si="1"/>
        <v>1</v>
      </c>
      <c r="AB17" s="43">
        <f t="shared" si="2"/>
        <v>0.6</v>
      </c>
      <c r="AC17" s="44" t="b">
        <f t="shared" si="3"/>
        <v>1</v>
      </c>
      <c r="AD17" s="44" t="b">
        <f t="shared" si="4"/>
        <v>1</v>
      </c>
    </row>
    <row r="18" spans="1:30" s="171" customFormat="1" ht="37.5" customHeight="1" x14ac:dyDescent="0.25">
      <c r="A18" s="155">
        <v>16</v>
      </c>
      <c r="B18" s="144">
        <v>259</v>
      </c>
      <c r="C18" s="145" t="s">
        <v>79</v>
      </c>
      <c r="D18" s="144" t="s">
        <v>183</v>
      </c>
      <c r="E18" s="144">
        <v>2003082</v>
      </c>
      <c r="F18" s="144" t="s">
        <v>66</v>
      </c>
      <c r="G18" s="160" t="s">
        <v>184</v>
      </c>
      <c r="H18" s="147" t="s">
        <v>83</v>
      </c>
      <c r="I18" s="148">
        <v>1.2649999999999999</v>
      </c>
      <c r="J18" s="149" t="s">
        <v>185</v>
      </c>
      <c r="K18" s="281">
        <v>2427282</v>
      </c>
      <c r="L18" s="151">
        <v>990300</v>
      </c>
      <c r="M18" s="57">
        <f t="shared" si="7"/>
        <v>1436982</v>
      </c>
      <c r="N18" s="152">
        <f>ROUND(L18/K18,4)</f>
        <v>0.40799999999999997</v>
      </c>
      <c r="O18" s="153">
        <v>0</v>
      </c>
      <c r="P18" s="153">
        <v>0</v>
      </c>
      <c r="Q18" s="176">
        <v>0</v>
      </c>
      <c r="R18" s="153">
        <v>0</v>
      </c>
      <c r="S18" s="153">
        <v>0</v>
      </c>
      <c r="T18" s="154">
        <v>308100</v>
      </c>
      <c r="U18" s="153">
        <v>682200</v>
      </c>
      <c r="V18" s="154">
        <v>0</v>
      </c>
      <c r="W18" s="154">
        <v>0</v>
      </c>
      <c r="X18" s="154">
        <v>0</v>
      </c>
      <c r="Y18" s="154">
        <v>0</v>
      </c>
      <c r="Z18" s="154">
        <v>0</v>
      </c>
      <c r="AA18" s="1" t="b">
        <f t="shared" si="1"/>
        <v>1</v>
      </c>
      <c r="AB18" s="43">
        <f t="shared" si="2"/>
        <v>0.40799999999999997</v>
      </c>
      <c r="AC18" s="44" t="b">
        <f t="shared" si="3"/>
        <v>1</v>
      </c>
      <c r="AD18" s="44" t="b">
        <f t="shared" si="4"/>
        <v>1</v>
      </c>
    </row>
    <row r="19" spans="1:30" s="171" customFormat="1" ht="37.5" customHeight="1" x14ac:dyDescent="0.25">
      <c r="A19" s="155">
        <v>17</v>
      </c>
      <c r="B19" s="144">
        <v>347</v>
      </c>
      <c r="C19" s="144" t="s">
        <v>79</v>
      </c>
      <c r="D19" s="144" t="s">
        <v>186</v>
      </c>
      <c r="E19" s="144">
        <v>2013023</v>
      </c>
      <c r="F19" s="144" t="s">
        <v>77</v>
      </c>
      <c r="G19" s="160" t="s">
        <v>187</v>
      </c>
      <c r="H19" s="147" t="s">
        <v>85</v>
      </c>
      <c r="I19" s="148">
        <v>1.2549999999999999</v>
      </c>
      <c r="J19" s="149" t="s">
        <v>139</v>
      </c>
      <c r="K19" s="281">
        <v>2102013.77</v>
      </c>
      <c r="L19" s="157">
        <f t="shared" ref="L19:L20" si="8">ROUNDDOWN(K19*N19,2)</f>
        <v>1261208.26</v>
      </c>
      <c r="M19" s="150">
        <f t="shared" si="7"/>
        <v>840805.51</v>
      </c>
      <c r="N19" s="159">
        <v>0.6</v>
      </c>
      <c r="O19" s="153">
        <v>0</v>
      </c>
      <c r="P19" s="153">
        <v>0</v>
      </c>
      <c r="Q19" s="176">
        <v>0</v>
      </c>
      <c r="R19" s="153">
        <v>0</v>
      </c>
      <c r="S19" s="153">
        <v>0</v>
      </c>
      <c r="T19" s="153">
        <v>644070.6</v>
      </c>
      <c r="U19" s="153">
        <v>617137.66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" t="b">
        <f t="shared" si="1"/>
        <v>1</v>
      </c>
      <c r="AB19" s="43">
        <f t="shared" si="2"/>
        <v>0.6</v>
      </c>
      <c r="AC19" s="44" t="b">
        <f t="shared" si="3"/>
        <v>1</v>
      </c>
      <c r="AD19" s="44" t="b">
        <f t="shared" si="4"/>
        <v>1</v>
      </c>
    </row>
    <row r="20" spans="1:30" s="180" customFormat="1" ht="37.5" customHeight="1" x14ac:dyDescent="0.25">
      <c r="A20" s="155">
        <v>18</v>
      </c>
      <c r="B20" s="144">
        <v>4</v>
      </c>
      <c r="C20" s="145" t="s">
        <v>79</v>
      </c>
      <c r="D20" s="144" t="s">
        <v>188</v>
      </c>
      <c r="E20" s="144">
        <v>2012052</v>
      </c>
      <c r="F20" s="144" t="s">
        <v>75</v>
      </c>
      <c r="G20" s="160" t="s">
        <v>189</v>
      </c>
      <c r="H20" s="144" t="s">
        <v>85</v>
      </c>
      <c r="I20" s="148">
        <v>1.01</v>
      </c>
      <c r="J20" s="144" t="s">
        <v>190</v>
      </c>
      <c r="K20" s="281">
        <v>3320014.41</v>
      </c>
      <c r="L20" s="151">
        <f t="shared" si="8"/>
        <v>1992008.64</v>
      </c>
      <c r="M20" s="57">
        <f t="shared" si="7"/>
        <v>1328005.7700000003</v>
      </c>
      <c r="N20" s="152">
        <v>0.6</v>
      </c>
      <c r="O20" s="153">
        <v>0</v>
      </c>
      <c r="P20" s="153">
        <v>0</v>
      </c>
      <c r="Q20" s="176">
        <v>0</v>
      </c>
      <c r="R20" s="153">
        <v>0</v>
      </c>
      <c r="S20" s="153">
        <v>0</v>
      </c>
      <c r="T20" s="153">
        <v>1195205.18</v>
      </c>
      <c r="U20" s="153">
        <v>796803.46</v>
      </c>
      <c r="V20" s="154">
        <v>0</v>
      </c>
      <c r="W20" s="154">
        <v>0</v>
      </c>
      <c r="X20" s="154">
        <v>0</v>
      </c>
      <c r="Y20" s="154">
        <v>0</v>
      </c>
      <c r="Z20" s="154">
        <v>0</v>
      </c>
      <c r="AA20" s="1" t="b">
        <f t="shared" si="1"/>
        <v>1</v>
      </c>
      <c r="AB20" s="43">
        <f t="shared" si="2"/>
        <v>0.6</v>
      </c>
      <c r="AC20" s="44" t="b">
        <f t="shared" si="3"/>
        <v>1</v>
      </c>
      <c r="AD20" s="44" t="b">
        <f t="shared" si="4"/>
        <v>1</v>
      </c>
    </row>
    <row r="21" spans="1:30" s="180" customFormat="1" ht="37.5" customHeight="1" x14ac:dyDescent="0.25">
      <c r="A21" s="155">
        <v>19</v>
      </c>
      <c r="B21" s="144">
        <v>335</v>
      </c>
      <c r="C21" s="144" t="s">
        <v>79</v>
      </c>
      <c r="D21" s="144" t="s">
        <v>191</v>
      </c>
      <c r="E21" s="144">
        <v>2012072</v>
      </c>
      <c r="F21" s="144" t="s">
        <v>75</v>
      </c>
      <c r="G21" s="160" t="s">
        <v>192</v>
      </c>
      <c r="H21" s="147" t="s">
        <v>85</v>
      </c>
      <c r="I21" s="148">
        <v>1</v>
      </c>
      <c r="J21" s="149" t="s">
        <v>171</v>
      </c>
      <c r="K21" s="281">
        <v>5003600</v>
      </c>
      <c r="L21" s="151">
        <f>ROUNDDOWN(K21*N21,2)</f>
        <v>3002160</v>
      </c>
      <c r="M21" s="57">
        <f t="shared" si="7"/>
        <v>2001440</v>
      </c>
      <c r="N21" s="152">
        <v>0.6</v>
      </c>
      <c r="O21" s="153">
        <v>0</v>
      </c>
      <c r="P21" s="153">
        <v>0</v>
      </c>
      <c r="Q21" s="176">
        <v>0</v>
      </c>
      <c r="R21" s="153">
        <v>0</v>
      </c>
      <c r="S21" s="153">
        <v>0</v>
      </c>
      <c r="T21" s="154">
        <f>2001600*N21</f>
        <v>1200960</v>
      </c>
      <c r="U21" s="153">
        <f>(3002000*N21)</f>
        <v>1801200</v>
      </c>
      <c r="V21" s="154">
        <v>0</v>
      </c>
      <c r="W21" s="154">
        <v>0</v>
      </c>
      <c r="X21" s="154">
        <v>0</v>
      </c>
      <c r="Y21" s="154">
        <v>0</v>
      </c>
      <c r="Z21" s="154">
        <v>0</v>
      </c>
      <c r="AA21" s="1" t="b">
        <f t="shared" si="1"/>
        <v>1</v>
      </c>
      <c r="AB21" s="43">
        <f t="shared" si="2"/>
        <v>0.6</v>
      </c>
      <c r="AC21" s="44" t="b">
        <f t="shared" si="3"/>
        <v>1</v>
      </c>
      <c r="AD21" s="44" t="b">
        <f t="shared" si="4"/>
        <v>1</v>
      </c>
    </row>
    <row r="22" spans="1:30" s="171" customFormat="1" ht="37.5" customHeight="1" x14ac:dyDescent="0.25">
      <c r="A22" s="280">
        <v>20</v>
      </c>
      <c r="B22" s="265">
        <v>292</v>
      </c>
      <c r="C22" s="284" t="s">
        <v>79</v>
      </c>
      <c r="D22" s="265" t="s">
        <v>520</v>
      </c>
      <c r="E22" s="265">
        <v>2007062</v>
      </c>
      <c r="F22" s="265" t="s">
        <v>70</v>
      </c>
      <c r="G22" s="266" t="s">
        <v>196</v>
      </c>
      <c r="H22" s="267" t="s">
        <v>85</v>
      </c>
      <c r="I22" s="268">
        <v>0.56999999999999995</v>
      </c>
      <c r="J22" s="276" t="s">
        <v>197</v>
      </c>
      <c r="K22" s="282">
        <v>856559.12</v>
      </c>
      <c r="L22" s="270">
        <f>ROUNDDOWN(K22*N22,2)</f>
        <v>513935.47</v>
      </c>
      <c r="M22" s="271">
        <f t="shared" si="7"/>
        <v>342623.65</v>
      </c>
      <c r="N22" s="272">
        <v>0.6</v>
      </c>
      <c r="O22" s="273">
        <v>0</v>
      </c>
      <c r="P22" s="273">
        <v>0</v>
      </c>
      <c r="Q22" s="283">
        <v>0</v>
      </c>
      <c r="R22" s="273">
        <v>0</v>
      </c>
      <c r="S22" s="273">
        <v>0</v>
      </c>
      <c r="T22" s="275">
        <f>823290*N22</f>
        <v>493974</v>
      </c>
      <c r="U22" s="273">
        <f>L22-T22</f>
        <v>19961.469999999972</v>
      </c>
      <c r="V22" s="273">
        <v>0</v>
      </c>
      <c r="W22" s="273">
        <v>0</v>
      </c>
      <c r="X22" s="273">
        <v>0</v>
      </c>
      <c r="Y22" s="273">
        <v>0</v>
      </c>
      <c r="Z22" s="273">
        <v>0</v>
      </c>
      <c r="AA22" s="1" t="b">
        <f t="shared" si="1"/>
        <v>1</v>
      </c>
      <c r="AB22" s="43">
        <f t="shared" si="2"/>
        <v>0.6</v>
      </c>
      <c r="AC22" s="44" t="b">
        <f t="shared" si="3"/>
        <v>1</v>
      </c>
      <c r="AD22" s="44" t="b">
        <f t="shared" si="4"/>
        <v>1</v>
      </c>
    </row>
    <row r="23" spans="1:30" s="180" customFormat="1" ht="37.5" customHeight="1" x14ac:dyDescent="0.25">
      <c r="A23" s="296" t="s">
        <v>549</v>
      </c>
      <c r="B23" s="265">
        <v>236</v>
      </c>
      <c r="C23" s="265" t="s">
        <v>79</v>
      </c>
      <c r="D23" s="265" t="s">
        <v>194</v>
      </c>
      <c r="E23" s="265">
        <v>2013033</v>
      </c>
      <c r="F23" s="265" t="s">
        <v>77</v>
      </c>
      <c r="G23" s="266" t="s">
        <v>198</v>
      </c>
      <c r="H23" s="267" t="s">
        <v>85</v>
      </c>
      <c r="I23" s="268">
        <v>0.622</v>
      </c>
      <c r="J23" s="276" t="s">
        <v>133</v>
      </c>
      <c r="K23" s="282">
        <v>4250500</v>
      </c>
      <c r="L23" s="270">
        <f>ROUNDDOWN(K23*N23,2)-229967.58</f>
        <v>2320332.42</v>
      </c>
      <c r="M23" s="269">
        <f t="shared" si="7"/>
        <v>1930167.58</v>
      </c>
      <c r="N23" s="287">
        <v>0.6</v>
      </c>
      <c r="O23" s="273">
        <v>0</v>
      </c>
      <c r="P23" s="273">
        <v>0</v>
      </c>
      <c r="Q23" s="283">
        <v>0</v>
      </c>
      <c r="R23" s="273">
        <v>0</v>
      </c>
      <c r="S23" s="273">
        <v>0</v>
      </c>
      <c r="T23" s="275">
        <f>250500*N23</f>
        <v>150300</v>
      </c>
      <c r="U23" s="273">
        <f>ROUNDDOWN(4000000*N23,2)-229967.58</f>
        <v>2170032.42</v>
      </c>
      <c r="V23" s="275">
        <v>0</v>
      </c>
      <c r="W23" s="275">
        <v>0</v>
      </c>
      <c r="X23" s="154">
        <v>0</v>
      </c>
      <c r="Y23" s="154">
        <v>0</v>
      </c>
      <c r="Z23" s="154">
        <v>0</v>
      </c>
      <c r="AA23" s="1" t="b">
        <f t="shared" si="1"/>
        <v>1</v>
      </c>
      <c r="AB23" s="43">
        <f t="shared" si="2"/>
        <v>0.54590000000000005</v>
      </c>
      <c r="AC23" s="44" t="b">
        <f t="shared" si="3"/>
        <v>0</v>
      </c>
      <c r="AD23" s="44" t="b">
        <f t="shared" si="4"/>
        <v>1</v>
      </c>
    </row>
    <row r="24" spans="1:30" s="171" customFormat="1" ht="37.5" customHeight="1" x14ac:dyDescent="0.25">
      <c r="A24" s="293" t="s">
        <v>550</v>
      </c>
      <c r="B24" s="144">
        <v>318</v>
      </c>
      <c r="C24" s="144" t="s">
        <v>79</v>
      </c>
      <c r="D24" s="144" t="s">
        <v>160</v>
      </c>
      <c r="E24" s="144">
        <v>2013062</v>
      </c>
      <c r="F24" s="144" t="s">
        <v>77</v>
      </c>
      <c r="G24" s="160" t="s">
        <v>199</v>
      </c>
      <c r="H24" s="147" t="s">
        <v>85</v>
      </c>
      <c r="I24" s="148">
        <v>3.03</v>
      </c>
      <c r="J24" s="149" t="s">
        <v>200</v>
      </c>
      <c r="K24" s="281">
        <v>9000000</v>
      </c>
      <c r="L24" s="157">
        <f>ROUNDDOWN(K24*N24,2)-2100000</f>
        <v>3300000</v>
      </c>
      <c r="M24" s="150">
        <f t="shared" si="7"/>
        <v>5700000</v>
      </c>
      <c r="N24" s="159">
        <v>0.6</v>
      </c>
      <c r="O24" s="153">
        <v>0</v>
      </c>
      <c r="P24" s="153">
        <v>0</v>
      </c>
      <c r="Q24" s="176">
        <v>0</v>
      </c>
      <c r="R24" s="154">
        <v>0</v>
      </c>
      <c r="S24" s="154">
        <v>0</v>
      </c>
      <c r="T24" s="154">
        <f>(3500000*N24)</f>
        <v>2100000</v>
      </c>
      <c r="U24" s="153">
        <f>(3500000*N24)-2100000</f>
        <v>0</v>
      </c>
      <c r="V24" s="153">
        <f>2000000*N24</f>
        <v>1200000</v>
      </c>
      <c r="W24" s="153">
        <v>0</v>
      </c>
      <c r="X24" s="153">
        <v>0</v>
      </c>
      <c r="Y24" s="153">
        <v>0</v>
      </c>
      <c r="Z24" s="153">
        <v>0</v>
      </c>
      <c r="AA24" s="1" t="b">
        <f t="shared" si="1"/>
        <v>1</v>
      </c>
      <c r="AB24" s="43">
        <f t="shared" si="2"/>
        <v>0.36670000000000003</v>
      </c>
      <c r="AC24" s="44" t="b">
        <f t="shared" si="3"/>
        <v>0</v>
      </c>
      <c r="AD24" s="44" t="b">
        <f t="shared" si="4"/>
        <v>1</v>
      </c>
    </row>
    <row r="25" spans="1:30" s="171" customFormat="1" ht="37.5" customHeight="1" x14ac:dyDescent="0.25">
      <c r="A25" s="293" t="s">
        <v>551</v>
      </c>
      <c r="B25" s="265">
        <v>334</v>
      </c>
      <c r="C25" s="265" t="s">
        <v>79</v>
      </c>
      <c r="D25" s="265" t="s">
        <v>521</v>
      </c>
      <c r="E25" s="265">
        <v>2012072</v>
      </c>
      <c r="F25" s="265" t="s">
        <v>75</v>
      </c>
      <c r="G25" s="266" t="s">
        <v>202</v>
      </c>
      <c r="H25" s="267" t="s">
        <v>83</v>
      </c>
      <c r="I25" s="268">
        <v>2.7810000000000001</v>
      </c>
      <c r="J25" s="276" t="s">
        <v>201</v>
      </c>
      <c r="K25" s="282">
        <v>2820049.97</v>
      </c>
      <c r="L25" s="289">
        <f>ROUNDDOWN(K25*N25,2)-1025999.98</f>
        <v>666030</v>
      </c>
      <c r="M25" s="269">
        <f t="shared" si="7"/>
        <v>2154019.9700000002</v>
      </c>
      <c r="N25" s="287">
        <v>0.6</v>
      </c>
      <c r="O25" s="273">
        <v>0</v>
      </c>
      <c r="P25" s="273">
        <v>0</v>
      </c>
      <c r="Q25" s="283">
        <v>0</v>
      </c>
      <c r="R25" s="275">
        <v>0</v>
      </c>
      <c r="S25" s="275">
        <v>0</v>
      </c>
      <c r="T25" s="273">
        <f>1110050*N25</f>
        <v>666030</v>
      </c>
      <c r="U25" s="273">
        <f>(1692029.98-T25)-1025999.98</f>
        <v>0</v>
      </c>
      <c r="V25" s="273">
        <v>0</v>
      </c>
      <c r="W25" s="290">
        <v>0</v>
      </c>
      <c r="X25" s="153">
        <v>0</v>
      </c>
      <c r="Y25" s="153">
        <v>0</v>
      </c>
      <c r="Z25" s="153">
        <v>0</v>
      </c>
      <c r="AA25" s="1" t="b">
        <f t="shared" si="1"/>
        <v>1</v>
      </c>
      <c r="AB25" s="43">
        <f t="shared" si="2"/>
        <v>0.23619999999999999</v>
      </c>
      <c r="AC25" s="44" t="b">
        <f t="shared" si="3"/>
        <v>0</v>
      </c>
      <c r="AD25" s="44" t="b">
        <f t="shared" si="4"/>
        <v>1</v>
      </c>
    </row>
    <row r="26" spans="1:30" s="171" customFormat="1" ht="37.5" customHeight="1" x14ac:dyDescent="0.25">
      <c r="A26" s="293" t="s">
        <v>552</v>
      </c>
      <c r="B26" s="265">
        <v>158</v>
      </c>
      <c r="C26" s="265" t="s">
        <v>79</v>
      </c>
      <c r="D26" s="265" t="s">
        <v>146</v>
      </c>
      <c r="E26" s="265">
        <v>2003052</v>
      </c>
      <c r="F26" s="265" t="s">
        <v>66</v>
      </c>
      <c r="G26" s="266" t="s">
        <v>203</v>
      </c>
      <c r="H26" s="267" t="s">
        <v>83</v>
      </c>
      <c r="I26" s="268">
        <v>2.6739999999999999</v>
      </c>
      <c r="J26" s="276" t="s">
        <v>117</v>
      </c>
      <c r="K26" s="282">
        <v>4633214.66</v>
      </c>
      <c r="L26" s="289">
        <f>ROUNDDOWN(K26*N26,2)-277992.88</f>
        <v>2501935.91</v>
      </c>
      <c r="M26" s="269">
        <f t="shared" si="7"/>
        <v>2131278.75</v>
      </c>
      <c r="N26" s="287">
        <v>0.6</v>
      </c>
      <c r="O26" s="273">
        <v>0</v>
      </c>
      <c r="P26" s="273">
        <v>0</v>
      </c>
      <c r="Q26" s="283">
        <v>0</v>
      </c>
      <c r="R26" s="275">
        <v>0</v>
      </c>
      <c r="S26" s="275">
        <v>0</v>
      </c>
      <c r="T26" s="273">
        <f>ROUNDDOWN(4169893.19*N26,2)</f>
        <v>2501935.91</v>
      </c>
      <c r="U26" s="273">
        <f>ROUNDDOWN(463321.47*N26,2)-277992.88</f>
        <v>0</v>
      </c>
      <c r="V26" s="273">
        <v>0</v>
      </c>
      <c r="W26" s="290">
        <v>0</v>
      </c>
      <c r="X26" s="153">
        <v>0</v>
      </c>
      <c r="Y26" s="153">
        <v>0</v>
      </c>
      <c r="Z26" s="153">
        <v>0</v>
      </c>
      <c r="AA26" s="1" t="b">
        <f t="shared" si="1"/>
        <v>1</v>
      </c>
      <c r="AB26" s="43">
        <f t="shared" si="2"/>
        <v>0.54</v>
      </c>
      <c r="AC26" s="44" t="b">
        <f t="shared" si="3"/>
        <v>0</v>
      </c>
      <c r="AD26" s="44" t="b">
        <f t="shared" si="4"/>
        <v>1</v>
      </c>
    </row>
    <row r="27" spans="1:30" s="171" customFormat="1" ht="37.5" customHeight="1" x14ac:dyDescent="0.25">
      <c r="A27" s="293" t="s">
        <v>553</v>
      </c>
      <c r="B27" s="144">
        <v>237</v>
      </c>
      <c r="C27" s="144" t="s">
        <v>79</v>
      </c>
      <c r="D27" s="144" t="s">
        <v>194</v>
      </c>
      <c r="E27" s="144">
        <v>2013033</v>
      </c>
      <c r="F27" s="144" t="s">
        <v>77</v>
      </c>
      <c r="G27" s="160" t="s">
        <v>204</v>
      </c>
      <c r="H27" s="147" t="s">
        <v>83</v>
      </c>
      <c r="I27" s="148">
        <v>2.3050000000000002</v>
      </c>
      <c r="J27" s="149" t="s">
        <v>133</v>
      </c>
      <c r="K27" s="281">
        <v>6698021.0600000005</v>
      </c>
      <c r="L27" s="157">
        <f>ROUNDDOWN(K27*N27,2)-3600000</f>
        <v>418812.62999999989</v>
      </c>
      <c r="M27" s="150">
        <f t="shared" si="7"/>
        <v>6279208.4300000006</v>
      </c>
      <c r="N27" s="159">
        <v>0.6</v>
      </c>
      <c r="O27" s="153">
        <v>0</v>
      </c>
      <c r="P27" s="153">
        <v>0</v>
      </c>
      <c r="Q27" s="176">
        <v>0</v>
      </c>
      <c r="R27" s="154">
        <v>0</v>
      </c>
      <c r="S27" s="154">
        <v>0</v>
      </c>
      <c r="T27" s="154">
        <f>ROUNDDOWN(698021.06*N27,2)</f>
        <v>418812.63</v>
      </c>
      <c r="U27" s="153">
        <f>(6000000*N27)-3600000</f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" t="b">
        <f t="shared" si="1"/>
        <v>1</v>
      </c>
      <c r="AB27" s="43">
        <f t="shared" si="2"/>
        <v>6.25E-2</v>
      </c>
      <c r="AC27" s="44" t="b">
        <f t="shared" si="3"/>
        <v>0</v>
      </c>
      <c r="AD27" s="44" t="b">
        <f t="shared" si="4"/>
        <v>1</v>
      </c>
    </row>
    <row r="28" spans="1:30" s="171" customFormat="1" ht="37.5" customHeight="1" x14ac:dyDescent="0.25">
      <c r="A28" s="293" t="s">
        <v>544</v>
      </c>
      <c r="B28" s="144">
        <v>241</v>
      </c>
      <c r="C28" s="144" t="s">
        <v>79</v>
      </c>
      <c r="D28" s="144" t="s">
        <v>205</v>
      </c>
      <c r="E28" s="144">
        <v>2011084</v>
      </c>
      <c r="F28" s="144" t="s">
        <v>74</v>
      </c>
      <c r="G28" s="160" t="s">
        <v>206</v>
      </c>
      <c r="H28" s="147" t="s">
        <v>83</v>
      </c>
      <c r="I28" s="148">
        <v>1.498</v>
      </c>
      <c r="J28" s="149" t="s">
        <v>207</v>
      </c>
      <c r="K28" s="147">
        <v>8328194.3200000003</v>
      </c>
      <c r="L28" s="157">
        <f>ROUNDDOWN(K28*N28,2)-1665638.86</f>
        <v>3331277.7299999995</v>
      </c>
      <c r="M28" s="150">
        <f t="shared" si="7"/>
        <v>4996916.5900000008</v>
      </c>
      <c r="N28" s="159">
        <v>0.6</v>
      </c>
      <c r="O28" s="153">
        <v>0</v>
      </c>
      <c r="P28" s="153">
        <v>0</v>
      </c>
      <c r="Q28" s="176">
        <v>0</v>
      </c>
      <c r="R28" s="154">
        <v>0</v>
      </c>
      <c r="S28" s="154">
        <v>0</v>
      </c>
      <c r="T28" s="154">
        <f>ROUNDUP(2776064.77*N28,2)</f>
        <v>1665638.87</v>
      </c>
      <c r="U28" s="154">
        <f>ROUNDDOWN(2776064.77*N28,2)-1665638.86</f>
        <v>0</v>
      </c>
      <c r="V28" s="154">
        <f>ROUNDDOWN(2776064.78*N28,2)</f>
        <v>1665638.86</v>
      </c>
      <c r="W28" s="288">
        <v>0</v>
      </c>
      <c r="X28" s="153">
        <v>0</v>
      </c>
      <c r="Y28" s="153">
        <v>0</v>
      </c>
      <c r="Z28" s="153">
        <v>0</v>
      </c>
      <c r="AA28" s="1" t="b">
        <f t="shared" si="1"/>
        <v>1</v>
      </c>
      <c r="AB28" s="43">
        <f t="shared" si="2"/>
        <v>0.4</v>
      </c>
      <c r="AC28" s="44" t="b">
        <f t="shared" si="3"/>
        <v>0</v>
      </c>
      <c r="AD28" s="44" t="b">
        <f t="shared" si="4"/>
        <v>1</v>
      </c>
    </row>
    <row r="29" spans="1:30" s="171" customFormat="1" ht="37.5" customHeight="1" x14ac:dyDescent="0.25">
      <c r="A29" s="293" t="s">
        <v>545</v>
      </c>
      <c r="B29" s="144">
        <v>240</v>
      </c>
      <c r="C29" s="144" t="s">
        <v>79</v>
      </c>
      <c r="D29" s="144" t="s">
        <v>194</v>
      </c>
      <c r="E29" s="144">
        <v>2013033</v>
      </c>
      <c r="F29" s="144" t="s">
        <v>77</v>
      </c>
      <c r="G29" s="160" t="s">
        <v>208</v>
      </c>
      <c r="H29" s="147" t="s">
        <v>83</v>
      </c>
      <c r="I29" s="148">
        <v>1.36</v>
      </c>
      <c r="J29" s="149" t="s">
        <v>209</v>
      </c>
      <c r="K29" s="147">
        <v>3911366</v>
      </c>
      <c r="L29" s="157">
        <f>ROUNDDOWN(K29*N29,2)-480000</f>
        <v>1866819.6</v>
      </c>
      <c r="M29" s="150">
        <f t="shared" si="7"/>
        <v>2044546.4</v>
      </c>
      <c r="N29" s="159">
        <v>0.6</v>
      </c>
      <c r="O29" s="153">
        <v>0</v>
      </c>
      <c r="P29" s="153">
        <v>0</v>
      </c>
      <c r="Q29" s="176">
        <v>0</v>
      </c>
      <c r="R29" s="154">
        <v>0</v>
      </c>
      <c r="S29" s="154">
        <v>0</v>
      </c>
      <c r="T29" s="154">
        <f>111366*N29</f>
        <v>66819.599999999991</v>
      </c>
      <c r="U29" s="153">
        <f>800000*N29-480000</f>
        <v>0</v>
      </c>
      <c r="V29" s="153">
        <f>3000000*N29</f>
        <v>1800000</v>
      </c>
      <c r="W29" s="153">
        <v>0</v>
      </c>
      <c r="X29" s="153">
        <v>0</v>
      </c>
      <c r="Y29" s="153">
        <v>0</v>
      </c>
      <c r="Z29" s="153">
        <v>0</v>
      </c>
      <c r="AA29" s="1" t="b">
        <f t="shared" si="1"/>
        <v>1</v>
      </c>
      <c r="AB29" s="43">
        <f t="shared" si="2"/>
        <v>0.4773</v>
      </c>
      <c r="AC29" s="44" t="b">
        <f t="shared" si="3"/>
        <v>0</v>
      </c>
      <c r="AD29" s="44" t="b">
        <f t="shared" si="4"/>
        <v>1</v>
      </c>
    </row>
    <row r="30" spans="1:30" s="171" customFormat="1" ht="37.5" customHeight="1" x14ac:dyDescent="0.25">
      <c r="A30" s="293" t="s">
        <v>554</v>
      </c>
      <c r="B30" s="144">
        <v>243</v>
      </c>
      <c r="C30" s="144" t="s">
        <v>79</v>
      </c>
      <c r="D30" s="144" t="s">
        <v>205</v>
      </c>
      <c r="E30" s="144">
        <v>2011084</v>
      </c>
      <c r="F30" s="144" t="s">
        <v>74</v>
      </c>
      <c r="G30" s="160" t="s">
        <v>522</v>
      </c>
      <c r="H30" s="147" t="s">
        <v>85</v>
      </c>
      <c r="I30" s="148">
        <v>1.1679999999999999</v>
      </c>
      <c r="J30" s="149" t="s">
        <v>207</v>
      </c>
      <c r="K30" s="147">
        <v>11436640.949999999</v>
      </c>
      <c r="L30" s="157">
        <f>6861984.57-2287328.19</f>
        <v>4574656.3800000008</v>
      </c>
      <c r="M30" s="150">
        <f>K30-L30</f>
        <v>6861984.5699999984</v>
      </c>
      <c r="N30" s="159">
        <v>0.6</v>
      </c>
      <c r="O30" s="153">
        <v>0</v>
      </c>
      <c r="P30" s="153">
        <v>0</v>
      </c>
      <c r="Q30" s="176">
        <v>0</v>
      </c>
      <c r="R30" s="154">
        <v>0</v>
      </c>
      <c r="S30" s="154">
        <v>0</v>
      </c>
      <c r="T30" s="154">
        <v>2287328.19</v>
      </c>
      <c r="U30" s="154">
        <f>2287328.19-2287328.19</f>
        <v>0</v>
      </c>
      <c r="V30" s="154">
        <v>2287328.19</v>
      </c>
      <c r="W30" s="288">
        <v>0</v>
      </c>
      <c r="X30" s="288">
        <v>0</v>
      </c>
      <c r="Y30" s="288">
        <v>0</v>
      </c>
      <c r="Z30" s="288">
        <v>0</v>
      </c>
      <c r="AA30" s="1" t="b">
        <f t="shared" si="1"/>
        <v>1</v>
      </c>
      <c r="AB30" s="43">
        <f t="shared" si="2"/>
        <v>0.4</v>
      </c>
      <c r="AC30" s="44" t="b">
        <f t="shared" si="3"/>
        <v>0</v>
      </c>
      <c r="AD30" s="44" t="b">
        <f t="shared" si="4"/>
        <v>1</v>
      </c>
    </row>
    <row r="31" spans="1:30" s="171" customFormat="1" ht="37.5" customHeight="1" x14ac:dyDescent="0.25">
      <c r="A31" s="293" t="s">
        <v>555</v>
      </c>
      <c r="B31" s="144">
        <v>109</v>
      </c>
      <c r="C31" s="144" t="s">
        <v>79</v>
      </c>
      <c r="D31" s="144" t="s">
        <v>523</v>
      </c>
      <c r="E31" s="144">
        <v>2011013</v>
      </c>
      <c r="F31" s="144" t="s">
        <v>74</v>
      </c>
      <c r="G31" s="160" t="s">
        <v>524</v>
      </c>
      <c r="H31" s="147" t="s">
        <v>83</v>
      </c>
      <c r="I31" s="148">
        <v>1.133</v>
      </c>
      <c r="J31" s="149" t="s">
        <v>525</v>
      </c>
      <c r="K31" s="147">
        <v>1854000</v>
      </c>
      <c r="L31" s="157">
        <f>1112400-496200</f>
        <v>616200</v>
      </c>
      <c r="M31" s="150">
        <f t="shared" ref="M31:M40" si="9">K31-L31</f>
        <v>1237800</v>
      </c>
      <c r="N31" s="159">
        <v>0.6</v>
      </c>
      <c r="O31" s="153">
        <v>0</v>
      </c>
      <c r="P31" s="153">
        <v>0</v>
      </c>
      <c r="Q31" s="176">
        <v>0</v>
      </c>
      <c r="R31" s="154">
        <v>0</v>
      </c>
      <c r="S31" s="154">
        <v>0</v>
      </c>
      <c r="T31" s="153">
        <v>120000</v>
      </c>
      <c r="U31" s="153">
        <f>496200-496200</f>
        <v>0</v>
      </c>
      <c r="V31" s="153">
        <v>496200</v>
      </c>
      <c r="W31" s="288">
        <v>0</v>
      </c>
      <c r="X31" s="288">
        <v>0</v>
      </c>
      <c r="Y31" s="288">
        <v>0</v>
      </c>
      <c r="Z31" s="288">
        <v>0</v>
      </c>
      <c r="AA31" s="1" t="b">
        <f t="shared" si="1"/>
        <v>1</v>
      </c>
      <c r="AB31" s="43">
        <f t="shared" si="2"/>
        <v>0.33239999999999997</v>
      </c>
      <c r="AC31" s="44" t="b">
        <f t="shared" si="3"/>
        <v>0</v>
      </c>
      <c r="AD31" s="44" t="b">
        <f t="shared" si="4"/>
        <v>1</v>
      </c>
    </row>
    <row r="32" spans="1:30" s="171" customFormat="1" ht="37.5" customHeight="1" x14ac:dyDescent="0.25">
      <c r="A32" s="293" t="s">
        <v>556</v>
      </c>
      <c r="B32" s="144">
        <v>108</v>
      </c>
      <c r="C32" s="144" t="s">
        <v>79</v>
      </c>
      <c r="D32" s="144" t="s">
        <v>523</v>
      </c>
      <c r="E32" s="144">
        <v>2011013</v>
      </c>
      <c r="F32" s="144" t="s">
        <v>74</v>
      </c>
      <c r="G32" s="160" t="s">
        <v>526</v>
      </c>
      <c r="H32" s="147" t="s">
        <v>83</v>
      </c>
      <c r="I32" s="148">
        <v>0.9</v>
      </c>
      <c r="J32" s="149" t="s">
        <v>525</v>
      </c>
      <c r="K32" s="147">
        <v>1404000</v>
      </c>
      <c r="L32" s="157">
        <f>842400-361200</f>
        <v>481200</v>
      </c>
      <c r="M32" s="150">
        <f t="shared" si="9"/>
        <v>922800</v>
      </c>
      <c r="N32" s="159">
        <v>0.6</v>
      </c>
      <c r="O32" s="153">
        <v>0</v>
      </c>
      <c r="P32" s="153">
        <v>0</v>
      </c>
      <c r="Q32" s="176">
        <v>0</v>
      </c>
      <c r="R32" s="154">
        <v>0</v>
      </c>
      <c r="S32" s="154">
        <v>0</v>
      </c>
      <c r="T32" s="153">
        <v>120000</v>
      </c>
      <c r="U32" s="153">
        <f>361200-361200</f>
        <v>0</v>
      </c>
      <c r="V32" s="153">
        <v>361200</v>
      </c>
      <c r="W32" s="288">
        <v>0</v>
      </c>
      <c r="X32" s="288">
        <v>0</v>
      </c>
      <c r="Y32" s="288">
        <v>0</v>
      </c>
      <c r="Z32" s="288">
        <v>0</v>
      </c>
      <c r="AA32" s="1" t="b">
        <f t="shared" si="1"/>
        <v>1</v>
      </c>
      <c r="AB32" s="43">
        <f t="shared" si="2"/>
        <v>0.3427</v>
      </c>
      <c r="AC32" s="44" t="b">
        <f t="shared" si="3"/>
        <v>0</v>
      </c>
      <c r="AD32" s="44" t="b">
        <f t="shared" si="4"/>
        <v>1</v>
      </c>
    </row>
    <row r="33" spans="1:30" s="171" customFormat="1" ht="37.5" customHeight="1" x14ac:dyDescent="0.25">
      <c r="A33" s="293" t="s">
        <v>541</v>
      </c>
      <c r="B33" s="144">
        <v>153</v>
      </c>
      <c r="C33" s="144" t="s">
        <v>79</v>
      </c>
      <c r="D33" s="144" t="s">
        <v>270</v>
      </c>
      <c r="E33" s="144">
        <v>2062011</v>
      </c>
      <c r="F33" s="144" t="s">
        <v>270</v>
      </c>
      <c r="G33" s="160" t="s">
        <v>527</v>
      </c>
      <c r="H33" s="147" t="s">
        <v>85</v>
      </c>
      <c r="I33" s="148">
        <v>0.60499999999999998</v>
      </c>
      <c r="J33" s="149" t="s">
        <v>528</v>
      </c>
      <c r="K33" s="147">
        <v>12538223.140000001</v>
      </c>
      <c r="L33" s="157">
        <f>ROUNDDOWN(K33*N33,2)-5122933.88</f>
        <v>2400000</v>
      </c>
      <c r="M33" s="150">
        <f t="shared" si="9"/>
        <v>10138223.140000001</v>
      </c>
      <c r="N33" s="159">
        <v>0.6</v>
      </c>
      <c r="O33" s="153">
        <v>0</v>
      </c>
      <c r="P33" s="153">
        <v>0</v>
      </c>
      <c r="Q33" s="176">
        <v>0</v>
      </c>
      <c r="R33" s="154">
        <v>0</v>
      </c>
      <c r="S33" s="154">
        <v>0</v>
      </c>
      <c r="T33" s="153">
        <f>4000000*N33</f>
        <v>2400000</v>
      </c>
      <c r="U33" s="153">
        <f>5122933.88-5122933.88</f>
        <v>0</v>
      </c>
      <c r="V33" s="153">
        <v>0</v>
      </c>
      <c r="W33" s="288">
        <v>0</v>
      </c>
      <c r="X33" s="153">
        <v>0</v>
      </c>
      <c r="Y33" s="153">
        <v>0</v>
      </c>
      <c r="Z33" s="153">
        <v>0</v>
      </c>
      <c r="AA33" s="1" t="b">
        <f t="shared" si="1"/>
        <v>1</v>
      </c>
      <c r="AB33" s="43">
        <f t="shared" si="2"/>
        <v>0.19139999999999999</v>
      </c>
      <c r="AC33" s="44" t="b">
        <f t="shared" si="3"/>
        <v>0</v>
      </c>
      <c r="AD33" s="44" t="b">
        <f t="shared" si="4"/>
        <v>1</v>
      </c>
    </row>
    <row r="34" spans="1:30" s="171" customFormat="1" ht="37.5" customHeight="1" x14ac:dyDescent="0.25">
      <c r="A34" s="293" t="s">
        <v>542</v>
      </c>
      <c r="B34" s="144">
        <v>135</v>
      </c>
      <c r="C34" s="144" t="s">
        <v>79</v>
      </c>
      <c r="D34" s="144" t="s">
        <v>529</v>
      </c>
      <c r="E34" s="144">
        <v>2006022</v>
      </c>
      <c r="F34" s="144" t="s">
        <v>69</v>
      </c>
      <c r="G34" s="160" t="s">
        <v>530</v>
      </c>
      <c r="H34" s="147" t="s">
        <v>85</v>
      </c>
      <c r="I34" s="148">
        <v>0.6</v>
      </c>
      <c r="J34" s="149" t="s">
        <v>531</v>
      </c>
      <c r="K34" s="147">
        <v>1324000</v>
      </c>
      <c r="L34" s="157">
        <f>ROUNDDOWN(K34*N34,2)-792000</f>
        <v>2400</v>
      </c>
      <c r="M34" s="150">
        <f t="shared" si="9"/>
        <v>1321600</v>
      </c>
      <c r="N34" s="159">
        <v>0.6</v>
      </c>
      <c r="O34" s="153">
        <v>0</v>
      </c>
      <c r="P34" s="153">
        <v>0</v>
      </c>
      <c r="Q34" s="176">
        <v>0</v>
      </c>
      <c r="R34" s="154">
        <v>0</v>
      </c>
      <c r="S34" s="154">
        <v>0</v>
      </c>
      <c r="T34" s="154">
        <f>4000*N34</f>
        <v>2400</v>
      </c>
      <c r="U34" s="153">
        <f>792000-792000</f>
        <v>0</v>
      </c>
      <c r="V34" s="153">
        <v>0</v>
      </c>
      <c r="W34" s="288">
        <v>0</v>
      </c>
      <c r="X34" s="153">
        <v>0</v>
      </c>
      <c r="Y34" s="153">
        <v>0</v>
      </c>
      <c r="Z34" s="153">
        <v>0</v>
      </c>
      <c r="AA34" s="1" t="b">
        <f t="shared" si="1"/>
        <v>1</v>
      </c>
      <c r="AB34" s="43">
        <f t="shared" si="2"/>
        <v>1.8E-3</v>
      </c>
      <c r="AC34" s="44" t="b">
        <f t="shared" si="3"/>
        <v>0</v>
      </c>
      <c r="AD34" s="44" t="b">
        <f t="shared" si="4"/>
        <v>1</v>
      </c>
    </row>
    <row r="35" spans="1:30" s="171" customFormat="1" ht="37.5" customHeight="1" x14ac:dyDescent="0.25">
      <c r="A35" s="293" t="s">
        <v>557</v>
      </c>
      <c r="B35" s="144">
        <v>239</v>
      </c>
      <c r="C35" s="144" t="s">
        <v>79</v>
      </c>
      <c r="D35" s="144" t="s">
        <v>194</v>
      </c>
      <c r="E35" s="144">
        <v>2013033</v>
      </c>
      <c r="F35" s="144" t="s">
        <v>77</v>
      </c>
      <c r="G35" s="160" t="s">
        <v>532</v>
      </c>
      <c r="H35" s="147" t="s">
        <v>83</v>
      </c>
      <c r="I35" s="148">
        <v>0.58599999999999997</v>
      </c>
      <c r="J35" s="149" t="s">
        <v>195</v>
      </c>
      <c r="K35" s="147">
        <v>2308500</v>
      </c>
      <c r="L35" s="157">
        <f>ROUNDDOWN(K35*N35,2)-1320000</f>
        <v>65100</v>
      </c>
      <c r="M35" s="150">
        <f t="shared" si="9"/>
        <v>2243400</v>
      </c>
      <c r="N35" s="159">
        <v>0.6</v>
      </c>
      <c r="O35" s="153">
        <v>0</v>
      </c>
      <c r="P35" s="153">
        <v>0</v>
      </c>
      <c r="Q35" s="176">
        <v>0</v>
      </c>
      <c r="R35" s="154">
        <v>0</v>
      </c>
      <c r="S35" s="154">
        <v>0</v>
      </c>
      <c r="T35" s="154">
        <f>108500*N35</f>
        <v>65100</v>
      </c>
      <c r="U35" s="153">
        <f>1320000-1320000</f>
        <v>0</v>
      </c>
      <c r="V35" s="153">
        <v>0</v>
      </c>
      <c r="W35" s="288">
        <v>0</v>
      </c>
      <c r="X35" s="153">
        <v>0</v>
      </c>
      <c r="Y35" s="153">
        <v>0</v>
      </c>
      <c r="Z35" s="153">
        <v>0</v>
      </c>
      <c r="AA35" s="1" t="b">
        <f t="shared" si="1"/>
        <v>1</v>
      </c>
      <c r="AB35" s="43">
        <f t="shared" si="2"/>
        <v>2.8199999999999999E-2</v>
      </c>
      <c r="AC35" s="44" t="b">
        <f t="shared" si="3"/>
        <v>0</v>
      </c>
      <c r="AD35" s="44" t="b">
        <f t="shared" si="4"/>
        <v>1</v>
      </c>
    </row>
    <row r="36" spans="1:30" s="171" customFormat="1" ht="37.5" customHeight="1" x14ac:dyDescent="0.25">
      <c r="A36" s="293" t="s">
        <v>558</v>
      </c>
      <c r="B36" s="144">
        <v>156</v>
      </c>
      <c r="C36" s="144" t="s">
        <v>79</v>
      </c>
      <c r="D36" s="144" t="s">
        <v>270</v>
      </c>
      <c r="E36" s="144">
        <v>2062011</v>
      </c>
      <c r="F36" s="144" t="s">
        <v>270</v>
      </c>
      <c r="G36" s="160" t="s">
        <v>533</v>
      </c>
      <c r="H36" s="147" t="s">
        <v>83</v>
      </c>
      <c r="I36" s="148">
        <v>0.47699999999999998</v>
      </c>
      <c r="J36" s="149" t="s">
        <v>528</v>
      </c>
      <c r="K36" s="147">
        <v>7227230</v>
      </c>
      <c r="L36" s="157">
        <f>ROUNDDOWN(K36*N36,2)-3000000</f>
        <v>1336338</v>
      </c>
      <c r="M36" s="150">
        <f t="shared" si="9"/>
        <v>5890892</v>
      </c>
      <c r="N36" s="159">
        <v>0.6</v>
      </c>
      <c r="O36" s="153">
        <v>0</v>
      </c>
      <c r="P36" s="153">
        <v>0</v>
      </c>
      <c r="Q36" s="176">
        <v>0</v>
      </c>
      <c r="R36" s="154">
        <v>0</v>
      </c>
      <c r="S36" s="154">
        <v>0</v>
      </c>
      <c r="T36" s="154">
        <f>(2227230*N36)</f>
        <v>1336338</v>
      </c>
      <c r="U36" s="153">
        <f>3000000-3000000</f>
        <v>0</v>
      </c>
      <c r="V36" s="153">
        <v>0</v>
      </c>
      <c r="W36" s="288">
        <v>0</v>
      </c>
      <c r="X36" s="288">
        <v>0</v>
      </c>
      <c r="Y36" s="288">
        <v>0</v>
      </c>
      <c r="Z36" s="288">
        <v>0</v>
      </c>
      <c r="AA36" s="1" t="b">
        <f t="shared" si="1"/>
        <v>1</v>
      </c>
      <c r="AB36" s="43">
        <f t="shared" si="2"/>
        <v>0.18490000000000001</v>
      </c>
      <c r="AC36" s="44" t="b">
        <f t="shared" si="3"/>
        <v>0</v>
      </c>
      <c r="AD36" s="44" t="b">
        <f t="shared" si="4"/>
        <v>1</v>
      </c>
    </row>
    <row r="37" spans="1:30" s="171" customFormat="1" ht="37.5" customHeight="1" x14ac:dyDescent="0.25">
      <c r="A37" s="293" t="s">
        <v>559</v>
      </c>
      <c r="B37" s="144">
        <v>244</v>
      </c>
      <c r="C37" s="145" t="s">
        <v>79</v>
      </c>
      <c r="D37" s="144" t="s">
        <v>205</v>
      </c>
      <c r="E37" s="144">
        <v>2011084</v>
      </c>
      <c r="F37" s="144" t="s">
        <v>74</v>
      </c>
      <c r="G37" s="160" t="s">
        <v>534</v>
      </c>
      <c r="H37" s="147" t="s">
        <v>85</v>
      </c>
      <c r="I37" s="148">
        <v>0.47499999999999998</v>
      </c>
      <c r="J37" s="149" t="s">
        <v>207</v>
      </c>
      <c r="K37" s="147">
        <v>7355470.7799999993</v>
      </c>
      <c r="L37" s="151">
        <f>ROUNDDOWN(K37*N37,2)-1471094.15</f>
        <v>2942188.31</v>
      </c>
      <c r="M37" s="57">
        <f t="shared" si="9"/>
        <v>4413282.4699999988</v>
      </c>
      <c r="N37" s="152">
        <v>0.6</v>
      </c>
      <c r="O37" s="153">
        <v>0</v>
      </c>
      <c r="P37" s="153">
        <v>0</v>
      </c>
      <c r="Q37" s="176">
        <v>0</v>
      </c>
      <c r="R37" s="154">
        <v>0</v>
      </c>
      <c r="S37" s="154">
        <v>0</v>
      </c>
      <c r="T37" s="154">
        <f>ROUNDDOWN(2451823.59*N37,2)</f>
        <v>1471094.15</v>
      </c>
      <c r="U37" s="154">
        <f>ROUNDDOWN(2451823.59*N37,2)-1471094.15</f>
        <v>0</v>
      </c>
      <c r="V37" s="154">
        <f>ROUNDDOWN(2451823.6*N37,2)</f>
        <v>1471094.16</v>
      </c>
      <c r="W37" s="288">
        <v>0</v>
      </c>
      <c r="X37" s="288">
        <v>0</v>
      </c>
      <c r="Y37" s="288">
        <v>0</v>
      </c>
      <c r="Z37" s="288">
        <v>0</v>
      </c>
      <c r="AA37" s="1" t="b">
        <f t="shared" si="1"/>
        <v>1</v>
      </c>
      <c r="AB37" s="43">
        <f t="shared" si="2"/>
        <v>0.4</v>
      </c>
      <c r="AC37" s="44" t="b">
        <f t="shared" si="3"/>
        <v>0</v>
      </c>
      <c r="AD37" s="44" t="b">
        <f t="shared" si="4"/>
        <v>1</v>
      </c>
    </row>
    <row r="38" spans="1:30" s="171" customFormat="1" ht="37.5" customHeight="1" x14ac:dyDescent="0.25">
      <c r="A38" s="293" t="s">
        <v>560</v>
      </c>
      <c r="B38" s="144">
        <v>75</v>
      </c>
      <c r="C38" s="144" t="s">
        <v>79</v>
      </c>
      <c r="D38" s="144" t="s">
        <v>193</v>
      </c>
      <c r="E38" s="144">
        <v>2002013</v>
      </c>
      <c r="F38" s="144" t="s">
        <v>64</v>
      </c>
      <c r="G38" s="160" t="s">
        <v>535</v>
      </c>
      <c r="H38" s="147" t="s">
        <v>85</v>
      </c>
      <c r="I38" s="148">
        <v>0.39</v>
      </c>
      <c r="J38" s="144" t="s">
        <v>190</v>
      </c>
      <c r="K38" s="147">
        <v>3408119</v>
      </c>
      <c r="L38" s="157">
        <f>ROUNDDOWN(K38*N38,2)-2044121.4</f>
        <v>750</v>
      </c>
      <c r="M38" s="150">
        <f t="shared" si="9"/>
        <v>3407369</v>
      </c>
      <c r="N38" s="159">
        <v>0.6</v>
      </c>
      <c r="O38" s="153">
        <v>0</v>
      </c>
      <c r="P38" s="153">
        <v>0</v>
      </c>
      <c r="Q38" s="176">
        <v>0</v>
      </c>
      <c r="R38" s="154">
        <v>0</v>
      </c>
      <c r="S38" s="154">
        <v>0</v>
      </c>
      <c r="T38" s="153">
        <f>1250*N38</f>
        <v>750</v>
      </c>
      <c r="U38" s="153">
        <f>(3406869*N38)-2044121.4</f>
        <v>0</v>
      </c>
      <c r="V38" s="153">
        <v>0</v>
      </c>
      <c r="W38" s="288">
        <v>0</v>
      </c>
      <c r="X38" s="153">
        <v>0</v>
      </c>
      <c r="Y38" s="153">
        <v>0</v>
      </c>
      <c r="Z38" s="153">
        <v>0</v>
      </c>
      <c r="AA38" s="1" t="b">
        <f t="shared" si="1"/>
        <v>1</v>
      </c>
      <c r="AB38" s="43">
        <f t="shared" si="2"/>
        <v>2.0000000000000001E-4</v>
      </c>
      <c r="AC38" s="44" t="b">
        <f t="shared" si="3"/>
        <v>0</v>
      </c>
      <c r="AD38" s="44" t="b">
        <f t="shared" si="4"/>
        <v>1</v>
      </c>
    </row>
    <row r="39" spans="1:30" s="171" customFormat="1" ht="37.5" customHeight="1" x14ac:dyDescent="0.25">
      <c r="A39" s="293" t="s">
        <v>561</v>
      </c>
      <c r="B39" s="144">
        <v>216</v>
      </c>
      <c r="C39" s="145" t="s">
        <v>79</v>
      </c>
      <c r="D39" s="144" t="s">
        <v>349</v>
      </c>
      <c r="E39" s="144">
        <v>2002032</v>
      </c>
      <c r="F39" s="144" t="s">
        <v>64</v>
      </c>
      <c r="G39" s="160" t="s">
        <v>536</v>
      </c>
      <c r="H39" s="147" t="s">
        <v>83</v>
      </c>
      <c r="I39" s="148">
        <v>0.34499999999999997</v>
      </c>
      <c r="J39" s="149" t="s">
        <v>190</v>
      </c>
      <c r="K39" s="147">
        <v>1740000</v>
      </c>
      <c r="L39" s="151">
        <f>ROUNDDOWN(K39*N39,2)-1008000</f>
        <v>36000</v>
      </c>
      <c r="M39" s="57">
        <f t="shared" si="9"/>
        <v>1704000</v>
      </c>
      <c r="N39" s="152">
        <v>0.6</v>
      </c>
      <c r="O39" s="153">
        <v>0</v>
      </c>
      <c r="P39" s="153">
        <v>0</v>
      </c>
      <c r="Q39" s="176">
        <v>0</v>
      </c>
      <c r="R39" s="154">
        <v>0</v>
      </c>
      <c r="S39" s="154">
        <v>0</v>
      </c>
      <c r="T39" s="153">
        <f>60000*N39</f>
        <v>36000</v>
      </c>
      <c r="U39" s="153">
        <f>(1680000*N39)-1008000</f>
        <v>0</v>
      </c>
      <c r="V39" s="153">
        <v>0</v>
      </c>
      <c r="W39" s="288">
        <v>0</v>
      </c>
      <c r="X39" s="153">
        <v>0</v>
      </c>
      <c r="Y39" s="153">
        <v>0</v>
      </c>
      <c r="Z39" s="153">
        <v>0</v>
      </c>
      <c r="AA39" s="1" t="b">
        <f t="shared" si="1"/>
        <v>1</v>
      </c>
      <c r="AB39" s="43">
        <f t="shared" si="2"/>
        <v>2.07E-2</v>
      </c>
      <c r="AC39" s="44" t="b">
        <f t="shared" si="3"/>
        <v>0</v>
      </c>
      <c r="AD39" s="44" t="b">
        <f t="shared" si="4"/>
        <v>1</v>
      </c>
    </row>
    <row r="40" spans="1:30" s="171" customFormat="1" ht="37.5" customHeight="1" x14ac:dyDescent="0.25">
      <c r="A40" s="293" t="s">
        <v>562</v>
      </c>
      <c r="B40" s="144">
        <v>67</v>
      </c>
      <c r="C40" s="144" t="s">
        <v>79</v>
      </c>
      <c r="D40" s="144" t="s">
        <v>193</v>
      </c>
      <c r="E40" s="144">
        <v>2002013</v>
      </c>
      <c r="F40" s="144" t="s">
        <v>64</v>
      </c>
      <c r="G40" s="160" t="s">
        <v>537</v>
      </c>
      <c r="H40" s="147" t="s">
        <v>83</v>
      </c>
      <c r="I40" s="148">
        <v>0.32700000000000001</v>
      </c>
      <c r="J40" s="144" t="s">
        <v>538</v>
      </c>
      <c r="K40" s="147">
        <v>4462005</v>
      </c>
      <c r="L40" s="157">
        <f>ROUNDDOWN(K40*N40,2)-1605836.76</f>
        <v>1071366.24</v>
      </c>
      <c r="M40" s="150">
        <f t="shared" si="9"/>
        <v>3390638.76</v>
      </c>
      <c r="N40" s="159">
        <v>0.6</v>
      </c>
      <c r="O40" s="153">
        <v>0</v>
      </c>
      <c r="P40" s="153">
        <v>0</v>
      </c>
      <c r="Q40" s="176">
        <v>0</v>
      </c>
      <c r="R40" s="154">
        <v>0</v>
      </c>
      <c r="S40" s="154">
        <v>0</v>
      </c>
      <c r="T40" s="154">
        <f>1785610.4*N40</f>
        <v>1071366.24</v>
      </c>
      <c r="U40" s="153">
        <f>(2676394.6*N40)-1605836.76</f>
        <v>0</v>
      </c>
      <c r="V40" s="153">
        <v>0</v>
      </c>
      <c r="W40" s="288">
        <v>0</v>
      </c>
      <c r="X40" s="153">
        <v>0</v>
      </c>
      <c r="Y40" s="153">
        <v>0</v>
      </c>
      <c r="Z40" s="153">
        <v>0</v>
      </c>
      <c r="AA40" s="1" t="b">
        <f t="shared" si="1"/>
        <v>1</v>
      </c>
      <c r="AB40" s="43">
        <f t="shared" si="2"/>
        <v>0.24010000000000001</v>
      </c>
      <c r="AC40" s="44" t="b">
        <f t="shared" si="3"/>
        <v>0</v>
      </c>
      <c r="AD40" s="44" t="b">
        <f t="shared" si="4"/>
        <v>1</v>
      </c>
    </row>
    <row r="41" spans="1:30" s="4" customFormat="1" ht="37.5" customHeight="1" x14ac:dyDescent="0.25">
      <c r="A41" s="195">
        <v>39</v>
      </c>
      <c r="B41" s="182">
        <v>259</v>
      </c>
      <c r="C41" s="142" t="s">
        <v>299</v>
      </c>
      <c r="D41" s="182" t="s">
        <v>78</v>
      </c>
      <c r="E41" s="182">
        <v>2014011</v>
      </c>
      <c r="F41" s="182" t="s">
        <v>302</v>
      </c>
      <c r="G41" s="192" t="s">
        <v>303</v>
      </c>
      <c r="H41" s="182" t="s">
        <v>83</v>
      </c>
      <c r="I41" s="187">
        <v>9.7000000000000003E-2</v>
      </c>
      <c r="J41" s="182" t="s">
        <v>304</v>
      </c>
      <c r="K41" s="188">
        <v>4306000</v>
      </c>
      <c r="L41" s="191">
        <f t="shared" ref="L41:L98" si="10">ROUNDDOWN(K41*N41,2)</f>
        <v>2153000</v>
      </c>
      <c r="M41" s="188">
        <f t="shared" ref="M41:M71" si="11">K41-L41</f>
        <v>2153000</v>
      </c>
      <c r="N41" s="186">
        <v>0.5</v>
      </c>
      <c r="O41" s="216">
        <v>0</v>
      </c>
      <c r="P41" s="216">
        <v>0</v>
      </c>
      <c r="Q41" s="216">
        <v>0</v>
      </c>
      <c r="R41" s="216">
        <v>0</v>
      </c>
      <c r="S41" s="216">
        <v>0</v>
      </c>
      <c r="T41" s="216">
        <v>0</v>
      </c>
      <c r="U41" s="216">
        <f>L41</f>
        <v>2153000</v>
      </c>
      <c r="V41" s="216">
        <v>0</v>
      </c>
      <c r="W41" s="216">
        <v>0</v>
      </c>
      <c r="X41" s="216">
        <v>0</v>
      </c>
      <c r="Y41" s="216">
        <v>0</v>
      </c>
      <c r="Z41" s="230">
        <v>0</v>
      </c>
      <c r="AA41" s="1" t="b">
        <f t="shared" si="1"/>
        <v>1</v>
      </c>
      <c r="AB41" s="43">
        <f t="shared" si="2"/>
        <v>0.5</v>
      </c>
      <c r="AC41" s="44" t="b">
        <f t="shared" si="3"/>
        <v>1</v>
      </c>
      <c r="AD41" s="44" t="b">
        <f t="shared" si="4"/>
        <v>1</v>
      </c>
    </row>
    <row r="42" spans="1:30" s="4" customFormat="1" ht="37.5" customHeight="1" x14ac:dyDescent="0.25">
      <c r="A42" s="195">
        <v>40</v>
      </c>
      <c r="B42" s="182">
        <v>293</v>
      </c>
      <c r="C42" s="142" t="s">
        <v>299</v>
      </c>
      <c r="D42" s="182" t="s">
        <v>305</v>
      </c>
      <c r="E42" s="182">
        <v>2002073</v>
      </c>
      <c r="F42" s="182" t="s">
        <v>306</v>
      </c>
      <c r="G42" s="192" t="s">
        <v>307</v>
      </c>
      <c r="H42" s="182" t="s">
        <v>83</v>
      </c>
      <c r="I42" s="187">
        <v>1.369</v>
      </c>
      <c r="J42" s="182" t="s">
        <v>304</v>
      </c>
      <c r="K42" s="188">
        <v>1272108.9099999999</v>
      </c>
      <c r="L42" s="191">
        <f t="shared" si="10"/>
        <v>636054.44999999995</v>
      </c>
      <c r="M42" s="188">
        <f t="shared" si="11"/>
        <v>636054.46</v>
      </c>
      <c r="N42" s="186">
        <v>0.5</v>
      </c>
      <c r="O42" s="216">
        <v>0</v>
      </c>
      <c r="P42" s="216">
        <v>0</v>
      </c>
      <c r="Q42" s="216">
        <v>0</v>
      </c>
      <c r="R42" s="216">
        <v>0</v>
      </c>
      <c r="S42" s="216">
        <v>0</v>
      </c>
      <c r="T42" s="216">
        <v>0</v>
      </c>
      <c r="U42" s="216">
        <f>L42</f>
        <v>636054.44999999995</v>
      </c>
      <c r="V42" s="216">
        <v>0</v>
      </c>
      <c r="W42" s="216">
        <v>0</v>
      </c>
      <c r="X42" s="216">
        <v>0</v>
      </c>
      <c r="Y42" s="216">
        <v>0</v>
      </c>
      <c r="Z42" s="230">
        <v>0</v>
      </c>
      <c r="AA42" s="1" t="b">
        <f t="shared" si="1"/>
        <v>1</v>
      </c>
      <c r="AB42" s="43">
        <f t="shared" si="2"/>
        <v>0.5</v>
      </c>
      <c r="AC42" s="44" t="b">
        <f t="shared" si="3"/>
        <v>1</v>
      </c>
      <c r="AD42" s="44" t="b">
        <f t="shared" si="4"/>
        <v>1</v>
      </c>
    </row>
    <row r="43" spans="1:30" s="4" customFormat="1" ht="37.5" customHeight="1" x14ac:dyDescent="0.25">
      <c r="A43" s="155">
        <v>41</v>
      </c>
      <c r="B43" s="179">
        <v>160</v>
      </c>
      <c r="C43" s="144" t="s">
        <v>300</v>
      </c>
      <c r="D43" s="179" t="s">
        <v>205</v>
      </c>
      <c r="E43" s="179">
        <v>2011084</v>
      </c>
      <c r="F43" s="179" t="s">
        <v>308</v>
      </c>
      <c r="G43" s="193" t="s">
        <v>309</v>
      </c>
      <c r="H43" s="179" t="s">
        <v>85</v>
      </c>
      <c r="I43" s="156">
        <v>1.1679999999999999</v>
      </c>
      <c r="J43" s="179" t="s">
        <v>310</v>
      </c>
      <c r="K43" s="151">
        <v>3003000</v>
      </c>
      <c r="L43" s="151">
        <f t="shared" si="10"/>
        <v>1501500</v>
      </c>
      <c r="M43" s="57">
        <f t="shared" si="11"/>
        <v>1501500</v>
      </c>
      <c r="N43" s="152">
        <v>0.5</v>
      </c>
      <c r="O43" s="153">
        <v>0</v>
      </c>
      <c r="P43" s="153">
        <v>0</v>
      </c>
      <c r="Q43" s="153">
        <v>0</v>
      </c>
      <c r="R43" s="153">
        <v>0</v>
      </c>
      <c r="S43" s="154">
        <v>0</v>
      </c>
      <c r="T43" s="154">
        <v>0</v>
      </c>
      <c r="U43" s="154">
        <v>500500</v>
      </c>
      <c r="V43" s="154">
        <v>500500</v>
      </c>
      <c r="W43" s="154">
        <v>500500</v>
      </c>
      <c r="X43" s="154">
        <v>0</v>
      </c>
      <c r="Y43" s="154">
        <v>0</v>
      </c>
      <c r="Z43" s="153">
        <v>0</v>
      </c>
      <c r="AA43" s="1" t="b">
        <f t="shared" si="1"/>
        <v>1</v>
      </c>
      <c r="AB43" s="43">
        <f t="shared" si="2"/>
        <v>0.5</v>
      </c>
      <c r="AC43" s="44" t="b">
        <f t="shared" si="3"/>
        <v>1</v>
      </c>
      <c r="AD43" s="44" t="b">
        <f t="shared" si="4"/>
        <v>1</v>
      </c>
    </row>
    <row r="44" spans="1:30" s="4" customFormat="1" ht="37.5" customHeight="1" x14ac:dyDescent="0.25">
      <c r="A44" s="195">
        <v>42</v>
      </c>
      <c r="B44" s="182">
        <v>26</v>
      </c>
      <c r="C44" s="142" t="s">
        <v>299</v>
      </c>
      <c r="D44" s="182" t="s">
        <v>193</v>
      </c>
      <c r="E44" s="182">
        <v>2002013</v>
      </c>
      <c r="F44" s="182" t="s">
        <v>306</v>
      </c>
      <c r="G44" s="192" t="s">
        <v>311</v>
      </c>
      <c r="H44" s="182" t="s">
        <v>85</v>
      </c>
      <c r="I44" s="187">
        <v>0.99299999999999999</v>
      </c>
      <c r="J44" s="182" t="s">
        <v>312</v>
      </c>
      <c r="K44" s="188">
        <v>4373190</v>
      </c>
      <c r="L44" s="191">
        <f t="shared" si="10"/>
        <v>2186595</v>
      </c>
      <c r="M44" s="188">
        <f t="shared" si="11"/>
        <v>2186595</v>
      </c>
      <c r="N44" s="186">
        <v>0.5</v>
      </c>
      <c r="O44" s="230">
        <v>0</v>
      </c>
      <c r="P44" s="230">
        <v>0</v>
      </c>
      <c r="Q44" s="230">
        <v>0</v>
      </c>
      <c r="R44" s="230">
        <v>0</v>
      </c>
      <c r="S44" s="216">
        <v>0</v>
      </c>
      <c r="T44" s="230">
        <v>0</v>
      </c>
      <c r="U44" s="231">
        <f>L44</f>
        <v>2186595</v>
      </c>
      <c r="V44" s="216">
        <v>0</v>
      </c>
      <c r="W44" s="216">
        <v>0</v>
      </c>
      <c r="X44" s="216">
        <v>0</v>
      </c>
      <c r="Y44" s="216">
        <v>0</v>
      </c>
      <c r="Z44" s="230">
        <v>0</v>
      </c>
      <c r="AA44" s="1" t="b">
        <f t="shared" si="1"/>
        <v>1</v>
      </c>
      <c r="AB44" s="43">
        <f t="shared" si="2"/>
        <v>0.5</v>
      </c>
      <c r="AC44" s="44" t="b">
        <f t="shared" si="3"/>
        <v>1</v>
      </c>
      <c r="AD44" s="44" t="b">
        <f t="shared" si="4"/>
        <v>1</v>
      </c>
    </row>
    <row r="45" spans="1:30" s="4" customFormat="1" ht="37.5" customHeight="1" x14ac:dyDescent="0.25">
      <c r="A45" s="195">
        <v>43</v>
      </c>
      <c r="B45" s="182">
        <v>337</v>
      </c>
      <c r="C45" s="142" t="s">
        <v>299</v>
      </c>
      <c r="D45" s="182" t="s">
        <v>313</v>
      </c>
      <c r="E45" s="182">
        <v>2013062</v>
      </c>
      <c r="F45" s="182" t="s">
        <v>314</v>
      </c>
      <c r="G45" s="192" t="s">
        <v>315</v>
      </c>
      <c r="H45" s="182" t="s">
        <v>87</v>
      </c>
      <c r="I45" s="185">
        <v>0.73599999999999999</v>
      </c>
      <c r="J45" s="182" t="s">
        <v>508</v>
      </c>
      <c r="K45" s="238">
        <v>894787.98</v>
      </c>
      <c r="L45" s="191">
        <f t="shared" si="10"/>
        <v>447393.99</v>
      </c>
      <c r="M45" s="188">
        <f t="shared" si="11"/>
        <v>447393.99</v>
      </c>
      <c r="N45" s="186">
        <v>0.5</v>
      </c>
      <c r="O45" s="230">
        <v>0</v>
      </c>
      <c r="P45" s="230">
        <v>0</v>
      </c>
      <c r="Q45" s="230">
        <v>0</v>
      </c>
      <c r="R45" s="230">
        <v>0</v>
      </c>
      <c r="S45" s="216">
        <v>0</v>
      </c>
      <c r="T45" s="230">
        <v>0</v>
      </c>
      <c r="U45" s="231">
        <f>L45</f>
        <v>447393.99</v>
      </c>
      <c r="V45" s="216">
        <v>0</v>
      </c>
      <c r="W45" s="216">
        <v>0</v>
      </c>
      <c r="X45" s="216">
        <v>0</v>
      </c>
      <c r="Y45" s="216">
        <v>0</v>
      </c>
      <c r="Z45" s="230">
        <v>0</v>
      </c>
      <c r="AA45" s="1" t="b">
        <f t="shared" si="1"/>
        <v>1</v>
      </c>
      <c r="AB45" s="43">
        <f t="shared" si="2"/>
        <v>0.5</v>
      </c>
      <c r="AC45" s="44" t="b">
        <f t="shared" si="3"/>
        <v>1</v>
      </c>
      <c r="AD45" s="44" t="b">
        <f t="shared" si="4"/>
        <v>1</v>
      </c>
    </row>
    <row r="46" spans="1:30" s="4" customFormat="1" ht="37.5" customHeight="1" x14ac:dyDescent="0.25">
      <c r="A46" s="195">
        <v>44</v>
      </c>
      <c r="B46" s="182">
        <v>81</v>
      </c>
      <c r="C46" s="182" t="s">
        <v>299</v>
      </c>
      <c r="D46" s="182" t="s">
        <v>316</v>
      </c>
      <c r="E46" s="182">
        <v>2002063</v>
      </c>
      <c r="F46" s="182" t="s">
        <v>306</v>
      </c>
      <c r="G46" s="192" t="s">
        <v>317</v>
      </c>
      <c r="H46" s="182" t="s">
        <v>83</v>
      </c>
      <c r="I46" s="187">
        <v>0.43</v>
      </c>
      <c r="J46" s="182" t="s">
        <v>276</v>
      </c>
      <c r="K46" s="188">
        <v>764400</v>
      </c>
      <c r="L46" s="191">
        <f t="shared" si="10"/>
        <v>382200</v>
      </c>
      <c r="M46" s="188">
        <f t="shared" si="11"/>
        <v>382200</v>
      </c>
      <c r="N46" s="186">
        <v>0.5</v>
      </c>
      <c r="O46" s="216">
        <v>0</v>
      </c>
      <c r="P46" s="216">
        <v>0</v>
      </c>
      <c r="Q46" s="216">
        <v>0</v>
      </c>
      <c r="R46" s="216">
        <v>0</v>
      </c>
      <c r="S46" s="216">
        <v>0</v>
      </c>
      <c r="T46" s="216">
        <v>0</v>
      </c>
      <c r="U46" s="216">
        <f>L46</f>
        <v>382200</v>
      </c>
      <c r="V46" s="216">
        <v>0</v>
      </c>
      <c r="W46" s="216">
        <v>0</v>
      </c>
      <c r="X46" s="216">
        <v>0</v>
      </c>
      <c r="Y46" s="216">
        <v>0</v>
      </c>
      <c r="Z46" s="230">
        <v>0</v>
      </c>
      <c r="AA46" s="1" t="b">
        <f t="shared" si="1"/>
        <v>1</v>
      </c>
      <c r="AB46" s="43">
        <f t="shared" si="2"/>
        <v>0.5</v>
      </c>
      <c r="AC46" s="44" t="b">
        <f t="shared" si="3"/>
        <v>1</v>
      </c>
      <c r="AD46" s="44" t="b">
        <f t="shared" si="4"/>
        <v>1</v>
      </c>
    </row>
    <row r="47" spans="1:30" s="4" customFormat="1" ht="37.5" customHeight="1" x14ac:dyDescent="0.25">
      <c r="A47" s="155">
        <v>45</v>
      </c>
      <c r="B47" s="179">
        <v>257</v>
      </c>
      <c r="C47" s="144" t="s">
        <v>300</v>
      </c>
      <c r="D47" s="179" t="s">
        <v>318</v>
      </c>
      <c r="E47" s="179">
        <v>2001011</v>
      </c>
      <c r="F47" s="179" t="s">
        <v>319</v>
      </c>
      <c r="G47" s="193" t="s">
        <v>320</v>
      </c>
      <c r="H47" s="179" t="s">
        <v>85</v>
      </c>
      <c r="I47" s="148">
        <v>7.0000000000000007E-2</v>
      </c>
      <c r="J47" s="179" t="s">
        <v>321</v>
      </c>
      <c r="K47" s="57">
        <v>3393000</v>
      </c>
      <c r="L47" s="151">
        <f t="shared" si="10"/>
        <v>1696500</v>
      </c>
      <c r="M47" s="57">
        <f t="shared" si="11"/>
        <v>1696500</v>
      </c>
      <c r="N47" s="152">
        <v>0.5</v>
      </c>
      <c r="O47" s="153">
        <v>0</v>
      </c>
      <c r="P47" s="153">
        <v>0</v>
      </c>
      <c r="Q47" s="153">
        <v>0</v>
      </c>
      <c r="R47" s="153">
        <v>0</v>
      </c>
      <c r="S47" s="154">
        <v>0</v>
      </c>
      <c r="T47" s="153">
        <v>0</v>
      </c>
      <c r="U47" s="154">
        <v>500</v>
      </c>
      <c r="V47" s="154">
        <v>1000</v>
      </c>
      <c r="W47" s="154">
        <v>1695000</v>
      </c>
      <c r="X47" s="154">
        <v>0</v>
      </c>
      <c r="Y47" s="154">
        <v>0</v>
      </c>
      <c r="Z47" s="153">
        <v>0</v>
      </c>
      <c r="AA47" s="1" t="b">
        <f t="shared" si="1"/>
        <v>1</v>
      </c>
      <c r="AB47" s="43">
        <f t="shared" si="2"/>
        <v>0.5</v>
      </c>
      <c r="AC47" s="44" t="b">
        <f t="shared" si="3"/>
        <v>1</v>
      </c>
      <c r="AD47" s="44" t="b">
        <f t="shared" si="4"/>
        <v>1</v>
      </c>
    </row>
    <row r="48" spans="1:30" s="4" customFormat="1" ht="37.5" customHeight="1" x14ac:dyDescent="0.25">
      <c r="A48" s="155">
        <v>46</v>
      </c>
      <c r="B48" s="179">
        <v>290</v>
      </c>
      <c r="C48" s="144" t="s">
        <v>300</v>
      </c>
      <c r="D48" s="179" t="s">
        <v>322</v>
      </c>
      <c r="E48" s="179">
        <v>2003062</v>
      </c>
      <c r="F48" s="179" t="s">
        <v>323</v>
      </c>
      <c r="G48" s="193" t="s">
        <v>324</v>
      </c>
      <c r="H48" s="179" t="s">
        <v>85</v>
      </c>
      <c r="I48" s="148">
        <v>1.0169999999999999</v>
      </c>
      <c r="J48" s="179" t="s">
        <v>325</v>
      </c>
      <c r="K48" s="57">
        <v>3366500</v>
      </c>
      <c r="L48" s="151">
        <f t="shared" si="10"/>
        <v>1683250</v>
      </c>
      <c r="M48" s="57">
        <f t="shared" si="11"/>
        <v>1683250</v>
      </c>
      <c r="N48" s="152">
        <v>0.5</v>
      </c>
      <c r="O48" s="154">
        <v>0</v>
      </c>
      <c r="P48" s="154">
        <v>0</v>
      </c>
      <c r="Q48" s="154">
        <v>0</v>
      </c>
      <c r="R48" s="154">
        <v>0</v>
      </c>
      <c r="S48" s="154">
        <v>0</v>
      </c>
      <c r="T48" s="154">
        <v>0</v>
      </c>
      <c r="U48" s="154">
        <v>841625</v>
      </c>
      <c r="V48" s="154">
        <v>841625</v>
      </c>
      <c r="W48" s="154">
        <v>0</v>
      </c>
      <c r="X48" s="154">
        <v>0</v>
      </c>
      <c r="Y48" s="154">
        <v>0</v>
      </c>
      <c r="Z48" s="153">
        <v>0</v>
      </c>
      <c r="AA48" s="1" t="b">
        <f t="shared" si="1"/>
        <v>1</v>
      </c>
      <c r="AB48" s="43">
        <f t="shared" si="2"/>
        <v>0.5</v>
      </c>
      <c r="AC48" s="44" t="b">
        <f t="shared" si="3"/>
        <v>1</v>
      </c>
      <c r="AD48" s="44" t="b">
        <f t="shared" si="4"/>
        <v>1</v>
      </c>
    </row>
    <row r="49" spans="1:30" s="4" customFormat="1" ht="37.5" customHeight="1" x14ac:dyDescent="0.25">
      <c r="A49" s="195">
        <v>47</v>
      </c>
      <c r="B49" s="182">
        <v>71</v>
      </c>
      <c r="C49" s="142" t="s">
        <v>299</v>
      </c>
      <c r="D49" s="182" t="s">
        <v>326</v>
      </c>
      <c r="E49" s="182">
        <v>2001032</v>
      </c>
      <c r="F49" s="182" t="s">
        <v>319</v>
      </c>
      <c r="G49" s="192" t="s">
        <v>327</v>
      </c>
      <c r="H49" s="182" t="s">
        <v>85</v>
      </c>
      <c r="I49" s="187">
        <v>0.92</v>
      </c>
      <c r="J49" s="182" t="s">
        <v>328</v>
      </c>
      <c r="K49" s="188">
        <v>1061800</v>
      </c>
      <c r="L49" s="191">
        <f t="shared" si="10"/>
        <v>530900</v>
      </c>
      <c r="M49" s="188">
        <f t="shared" si="11"/>
        <v>530900</v>
      </c>
      <c r="N49" s="186">
        <v>0.5</v>
      </c>
      <c r="O49" s="216">
        <v>0</v>
      </c>
      <c r="P49" s="216">
        <v>0</v>
      </c>
      <c r="Q49" s="216">
        <v>0</v>
      </c>
      <c r="R49" s="216">
        <v>0</v>
      </c>
      <c r="S49" s="216">
        <v>0</v>
      </c>
      <c r="T49" s="216">
        <v>0</v>
      </c>
      <c r="U49" s="216">
        <f t="shared" ref="U49:U55" si="12">L49</f>
        <v>530900</v>
      </c>
      <c r="V49" s="216">
        <v>0</v>
      </c>
      <c r="W49" s="216">
        <v>0</v>
      </c>
      <c r="X49" s="216">
        <v>0</v>
      </c>
      <c r="Y49" s="216">
        <v>0</v>
      </c>
      <c r="Z49" s="230">
        <v>0</v>
      </c>
      <c r="AA49" s="1" t="b">
        <f t="shared" si="1"/>
        <v>1</v>
      </c>
      <c r="AB49" s="43">
        <f t="shared" si="2"/>
        <v>0.5</v>
      </c>
      <c r="AC49" s="44" t="b">
        <f t="shared" si="3"/>
        <v>1</v>
      </c>
      <c r="AD49" s="44" t="b">
        <f t="shared" si="4"/>
        <v>1</v>
      </c>
    </row>
    <row r="50" spans="1:30" s="4" customFormat="1" ht="37.5" customHeight="1" x14ac:dyDescent="0.25">
      <c r="A50" s="195">
        <v>48</v>
      </c>
      <c r="B50" s="182">
        <v>300</v>
      </c>
      <c r="C50" s="142" t="s">
        <v>299</v>
      </c>
      <c r="D50" s="182" t="s">
        <v>169</v>
      </c>
      <c r="E50" s="182">
        <v>2002082</v>
      </c>
      <c r="F50" s="182" t="s">
        <v>306</v>
      </c>
      <c r="G50" s="192" t="s">
        <v>329</v>
      </c>
      <c r="H50" s="182" t="s">
        <v>87</v>
      </c>
      <c r="I50" s="187">
        <v>0.8</v>
      </c>
      <c r="J50" s="182" t="s">
        <v>221</v>
      </c>
      <c r="K50" s="191">
        <v>1112500</v>
      </c>
      <c r="L50" s="191">
        <f t="shared" si="10"/>
        <v>556250</v>
      </c>
      <c r="M50" s="188">
        <f t="shared" si="11"/>
        <v>556250</v>
      </c>
      <c r="N50" s="186">
        <v>0.5</v>
      </c>
      <c r="O50" s="230">
        <v>0</v>
      </c>
      <c r="P50" s="230">
        <v>0</v>
      </c>
      <c r="Q50" s="230">
        <v>0</v>
      </c>
      <c r="R50" s="230">
        <v>0</v>
      </c>
      <c r="S50" s="216">
        <v>0</v>
      </c>
      <c r="T50" s="230">
        <v>0</v>
      </c>
      <c r="U50" s="216">
        <f t="shared" si="12"/>
        <v>556250</v>
      </c>
      <c r="V50" s="216">
        <v>0</v>
      </c>
      <c r="W50" s="216">
        <v>0</v>
      </c>
      <c r="X50" s="216">
        <v>0</v>
      </c>
      <c r="Y50" s="216">
        <v>0</v>
      </c>
      <c r="Z50" s="230">
        <v>0</v>
      </c>
      <c r="AA50" s="1" t="b">
        <f t="shared" si="1"/>
        <v>1</v>
      </c>
      <c r="AB50" s="43">
        <f t="shared" si="2"/>
        <v>0.5</v>
      </c>
      <c r="AC50" s="44" t="b">
        <f t="shared" si="3"/>
        <v>1</v>
      </c>
      <c r="AD50" s="44" t="b">
        <f t="shared" si="4"/>
        <v>1</v>
      </c>
    </row>
    <row r="51" spans="1:30" s="4" customFormat="1" ht="37.5" customHeight="1" x14ac:dyDescent="0.25">
      <c r="A51" s="195">
        <v>49</v>
      </c>
      <c r="B51" s="182">
        <v>204</v>
      </c>
      <c r="C51" s="142" t="s">
        <v>299</v>
      </c>
      <c r="D51" s="182" t="s">
        <v>330</v>
      </c>
      <c r="E51" s="182">
        <v>2002052</v>
      </c>
      <c r="F51" s="182" t="s">
        <v>306</v>
      </c>
      <c r="G51" s="192" t="s">
        <v>331</v>
      </c>
      <c r="H51" s="182" t="s">
        <v>83</v>
      </c>
      <c r="I51" s="187">
        <v>0.497</v>
      </c>
      <c r="J51" s="182" t="s">
        <v>224</v>
      </c>
      <c r="K51" s="188">
        <v>4902500</v>
      </c>
      <c r="L51" s="191">
        <f t="shared" si="10"/>
        <v>2451250</v>
      </c>
      <c r="M51" s="188">
        <f t="shared" si="11"/>
        <v>2451250</v>
      </c>
      <c r="N51" s="186">
        <v>0.5</v>
      </c>
      <c r="O51" s="216">
        <v>0</v>
      </c>
      <c r="P51" s="216">
        <v>0</v>
      </c>
      <c r="Q51" s="216">
        <v>0</v>
      </c>
      <c r="R51" s="216">
        <v>0</v>
      </c>
      <c r="S51" s="216">
        <v>0</v>
      </c>
      <c r="T51" s="216">
        <v>0</v>
      </c>
      <c r="U51" s="216">
        <f t="shared" si="12"/>
        <v>2451250</v>
      </c>
      <c r="V51" s="216">
        <v>0</v>
      </c>
      <c r="W51" s="216">
        <v>0</v>
      </c>
      <c r="X51" s="216">
        <v>0</v>
      </c>
      <c r="Y51" s="216">
        <v>0</v>
      </c>
      <c r="Z51" s="230">
        <v>0</v>
      </c>
      <c r="AA51" s="1" t="b">
        <f t="shared" si="1"/>
        <v>1</v>
      </c>
      <c r="AB51" s="43">
        <f t="shared" si="2"/>
        <v>0.5</v>
      </c>
      <c r="AC51" s="44" t="b">
        <f t="shared" si="3"/>
        <v>1</v>
      </c>
      <c r="AD51" s="44" t="b">
        <f t="shared" si="4"/>
        <v>1</v>
      </c>
    </row>
    <row r="52" spans="1:30" s="4" customFormat="1" ht="37.5" customHeight="1" x14ac:dyDescent="0.25">
      <c r="A52" s="195">
        <v>50</v>
      </c>
      <c r="B52" s="182">
        <v>149</v>
      </c>
      <c r="C52" s="142" t="s">
        <v>299</v>
      </c>
      <c r="D52" s="182" t="s">
        <v>157</v>
      </c>
      <c r="E52" s="182">
        <v>2002143</v>
      </c>
      <c r="F52" s="182" t="s">
        <v>306</v>
      </c>
      <c r="G52" s="192" t="s">
        <v>332</v>
      </c>
      <c r="H52" s="182" t="s">
        <v>83</v>
      </c>
      <c r="I52" s="187">
        <v>0.44500000000000001</v>
      </c>
      <c r="J52" s="182" t="s">
        <v>276</v>
      </c>
      <c r="K52" s="188">
        <v>661654.28</v>
      </c>
      <c r="L52" s="191">
        <f t="shared" si="10"/>
        <v>330827.14</v>
      </c>
      <c r="M52" s="188">
        <f t="shared" si="11"/>
        <v>330827.14</v>
      </c>
      <c r="N52" s="186">
        <v>0.5</v>
      </c>
      <c r="O52" s="216">
        <v>0</v>
      </c>
      <c r="P52" s="216">
        <v>0</v>
      </c>
      <c r="Q52" s="216">
        <v>0</v>
      </c>
      <c r="R52" s="216">
        <v>0</v>
      </c>
      <c r="S52" s="216">
        <v>0</v>
      </c>
      <c r="T52" s="216">
        <v>0</v>
      </c>
      <c r="U52" s="216">
        <f t="shared" si="12"/>
        <v>330827.14</v>
      </c>
      <c r="V52" s="216">
        <v>0</v>
      </c>
      <c r="W52" s="216">
        <v>0</v>
      </c>
      <c r="X52" s="216">
        <v>0</v>
      </c>
      <c r="Y52" s="216">
        <v>0</v>
      </c>
      <c r="Z52" s="230">
        <v>0</v>
      </c>
      <c r="AA52" s="1" t="b">
        <f t="shared" si="1"/>
        <v>1</v>
      </c>
      <c r="AB52" s="43">
        <f t="shared" si="2"/>
        <v>0.5</v>
      </c>
      <c r="AC52" s="44" t="b">
        <f t="shared" si="3"/>
        <v>1</v>
      </c>
      <c r="AD52" s="44" t="b">
        <f t="shared" si="4"/>
        <v>1</v>
      </c>
    </row>
    <row r="53" spans="1:30" s="4" customFormat="1" ht="37.5" customHeight="1" x14ac:dyDescent="0.25">
      <c r="A53" s="195">
        <v>51</v>
      </c>
      <c r="B53" s="182">
        <v>311</v>
      </c>
      <c r="C53" s="142" t="s">
        <v>299</v>
      </c>
      <c r="D53" s="182" t="s">
        <v>333</v>
      </c>
      <c r="E53" s="182">
        <v>2007013</v>
      </c>
      <c r="F53" s="182" t="s">
        <v>334</v>
      </c>
      <c r="G53" s="192" t="s">
        <v>335</v>
      </c>
      <c r="H53" s="182" t="s">
        <v>83</v>
      </c>
      <c r="I53" s="187">
        <v>0.35799999999999998</v>
      </c>
      <c r="J53" s="182" t="s">
        <v>276</v>
      </c>
      <c r="K53" s="188">
        <v>772500</v>
      </c>
      <c r="L53" s="191">
        <f t="shared" si="10"/>
        <v>386250</v>
      </c>
      <c r="M53" s="188">
        <f t="shared" si="11"/>
        <v>386250</v>
      </c>
      <c r="N53" s="186">
        <v>0.5</v>
      </c>
      <c r="O53" s="216">
        <v>0</v>
      </c>
      <c r="P53" s="216">
        <v>0</v>
      </c>
      <c r="Q53" s="216">
        <v>0</v>
      </c>
      <c r="R53" s="216">
        <v>0</v>
      </c>
      <c r="S53" s="216">
        <v>0</v>
      </c>
      <c r="T53" s="216">
        <v>0</v>
      </c>
      <c r="U53" s="216">
        <f t="shared" si="12"/>
        <v>386250</v>
      </c>
      <c r="V53" s="216">
        <v>0</v>
      </c>
      <c r="W53" s="216">
        <v>0</v>
      </c>
      <c r="X53" s="216">
        <v>0</v>
      </c>
      <c r="Y53" s="216">
        <v>0</v>
      </c>
      <c r="Z53" s="230">
        <v>0</v>
      </c>
      <c r="AA53" s="1" t="b">
        <f t="shared" si="1"/>
        <v>1</v>
      </c>
      <c r="AB53" s="43">
        <f t="shared" si="2"/>
        <v>0.5</v>
      </c>
      <c r="AC53" s="44" t="b">
        <f t="shared" si="3"/>
        <v>1</v>
      </c>
      <c r="AD53" s="44" t="b">
        <f t="shared" si="4"/>
        <v>1</v>
      </c>
    </row>
    <row r="54" spans="1:30" s="4" customFormat="1" ht="37.5" customHeight="1" x14ac:dyDescent="0.25">
      <c r="A54" s="195">
        <v>52</v>
      </c>
      <c r="B54" s="182">
        <v>383</v>
      </c>
      <c r="C54" s="142" t="s">
        <v>299</v>
      </c>
      <c r="D54" s="182" t="s">
        <v>194</v>
      </c>
      <c r="E54" s="182">
        <v>2013033</v>
      </c>
      <c r="F54" s="182" t="s">
        <v>314</v>
      </c>
      <c r="G54" s="192" t="s">
        <v>336</v>
      </c>
      <c r="H54" s="182" t="s">
        <v>85</v>
      </c>
      <c r="I54" s="187">
        <v>0.313</v>
      </c>
      <c r="J54" s="182" t="s">
        <v>312</v>
      </c>
      <c r="K54" s="188">
        <v>953500</v>
      </c>
      <c r="L54" s="191">
        <f t="shared" si="10"/>
        <v>476750</v>
      </c>
      <c r="M54" s="188">
        <f t="shared" si="11"/>
        <v>476750</v>
      </c>
      <c r="N54" s="186">
        <v>0.5</v>
      </c>
      <c r="O54" s="216">
        <v>0</v>
      </c>
      <c r="P54" s="216">
        <v>0</v>
      </c>
      <c r="Q54" s="216">
        <v>0</v>
      </c>
      <c r="R54" s="216">
        <v>0</v>
      </c>
      <c r="S54" s="216">
        <v>0</v>
      </c>
      <c r="T54" s="216">
        <v>0</v>
      </c>
      <c r="U54" s="216">
        <f t="shared" si="12"/>
        <v>476750</v>
      </c>
      <c r="V54" s="216">
        <v>0</v>
      </c>
      <c r="W54" s="216">
        <v>0</v>
      </c>
      <c r="X54" s="216">
        <v>0</v>
      </c>
      <c r="Y54" s="216">
        <v>0</v>
      </c>
      <c r="Z54" s="230">
        <v>0</v>
      </c>
      <c r="AA54" s="1" t="b">
        <f t="shared" si="1"/>
        <v>1</v>
      </c>
      <c r="AB54" s="43">
        <f t="shared" si="2"/>
        <v>0.5</v>
      </c>
      <c r="AC54" s="44" t="b">
        <f t="shared" si="3"/>
        <v>1</v>
      </c>
      <c r="AD54" s="44" t="b">
        <f t="shared" si="4"/>
        <v>1</v>
      </c>
    </row>
    <row r="55" spans="1:30" s="4" customFormat="1" ht="37.5" customHeight="1" x14ac:dyDescent="0.25">
      <c r="A55" s="195">
        <v>53</v>
      </c>
      <c r="B55" s="182">
        <v>82</v>
      </c>
      <c r="C55" s="182" t="s">
        <v>299</v>
      </c>
      <c r="D55" s="182" t="s">
        <v>316</v>
      </c>
      <c r="E55" s="182">
        <v>2002063</v>
      </c>
      <c r="F55" s="182" t="s">
        <v>306</v>
      </c>
      <c r="G55" s="192" t="s">
        <v>337</v>
      </c>
      <c r="H55" s="184" t="s">
        <v>83</v>
      </c>
      <c r="I55" s="185">
        <v>0.26500000000000001</v>
      </c>
      <c r="J55" s="182" t="s">
        <v>338</v>
      </c>
      <c r="K55" s="188">
        <v>708800</v>
      </c>
      <c r="L55" s="191">
        <f t="shared" si="10"/>
        <v>354400</v>
      </c>
      <c r="M55" s="188">
        <f t="shared" si="11"/>
        <v>354400</v>
      </c>
      <c r="N55" s="186">
        <v>0.5</v>
      </c>
      <c r="O55" s="216">
        <v>0</v>
      </c>
      <c r="P55" s="216">
        <v>0</v>
      </c>
      <c r="Q55" s="216">
        <v>0</v>
      </c>
      <c r="R55" s="216">
        <v>0</v>
      </c>
      <c r="S55" s="216">
        <v>0</v>
      </c>
      <c r="T55" s="216">
        <v>0</v>
      </c>
      <c r="U55" s="216">
        <f t="shared" si="12"/>
        <v>354400</v>
      </c>
      <c r="V55" s="216">
        <v>0</v>
      </c>
      <c r="W55" s="216">
        <v>0</v>
      </c>
      <c r="X55" s="216">
        <v>0</v>
      </c>
      <c r="Y55" s="216">
        <v>0</v>
      </c>
      <c r="Z55" s="230">
        <v>0</v>
      </c>
      <c r="AA55" s="1" t="b">
        <f t="shared" si="1"/>
        <v>1</v>
      </c>
      <c r="AB55" s="43">
        <f t="shared" si="2"/>
        <v>0.5</v>
      </c>
      <c r="AC55" s="44" t="b">
        <f t="shared" si="3"/>
        <v>1</v>
      </c>
      <c r="AD55" s="44" t="b">
        <f t="shared" si="4"/>
        <v>1</v>
      </c>
    </row>
    <row r="56" spans="1:30" s="4" customFormat="1" ht="37.5" customHeight="1" x14ac:dyDescent="0.25">
      <c r="A56" s="195">
        <v>54</v>
      </c>
      <c r="B56" s="182">
        <v>201</v>
      </c>
      <c r="C56" s="142" t="s">
        <v>299</v>
      </c>
      <c r="D56" s="182" t="s">
        <v>339</v>
      </c>
      <c r="E56" s="182">
        <v>2005082</v>
      </c>
      <c r="F56" s="182" t="s">
        <v>340</v>
      </c>
      <c r="G56" s="192" t="s">
        <v>341</v>
      </c>
      <c r="H56" s="182" t="s">
        <v>85</v>
      </c>
      <c r="I56" s="185">
        <v>0.19700000000000001</v>
      </c>
      <c r="J56" s="182" t="s">
        <v>342</v>
      </c>
      <c r="K56" s="191">
        <v>421200</v>
      </c>
      <c r="L56" s="191">
        <f t="shared" si="10"/>
        <v>210600</v>
      </c>
      <c r="M56" s="188">
        <f t="shared" si="11"/>
        <v>210600</v>
      </c>
      <c r="N56" s="186">
        <v>0.5</v>
      </c>
      <c r="O56" s="230">
        <v>0</v>
      </c>
      <c r="P56" s="230">
        <v>0</v>
      </c>
      <c r="Q56" s="230">
        <v>0</v>
      </c>
      <c r="R56" s="230">
        <v>0</v>
      </c>
      <c r="S56" s="216">
        <v>0</v>
      </c>
      <c r="T56" s="216">
        <v>0</v>
      </c>
      <c r="U56" s="216">
        <f>L56</f>
        <v>210600</v>
      </c>
      <c r="V56" s="216">
        <v>0</v>
      </c>
      <c r="W56" s="216">
        <v>0</v>
      </c>
      <c r="X56" s="216">
        <v>0</v>
      </c>
      <c r="Y56" s="216">
        <v>0</v>
      </c>
      <c r="Z56" s="230">
        <v>0</v>
      </c>
      <c r="AA56" s="1" t="b">
        <f t="shared" si="1"/>
        <v>1</v>
      </c>
      <c r="AB56" s="43">
        <f t="shared" si="2"/>
        <v>0.5</v>
      </c>
      <c r="AC56" s="44" t="b">
        <f t="shared" si="3"/>
        <v>1</v>
      </c>
      <c r="AD56" s="44" t="b">
        <f t="shared" si="4"/>
        <v>1</v>
      </c>
    </row>
    <row r="57" spans="1:30" s="4" customFormat="1" ht="37.5" customHeight="1" x14ac:dyDescent="0.25">
      <c r="A57" s="195">
        <v>55</v>
      </c>
      <c r="B57" s="182">
        <v>179</v>
      </c>
      <c r="C57" s="142" t="s">
        <v>299</v>
      </c>
      <c r="D57" s="182" t="s">
        <v>68</v>
      </c>
      <c r="E57" s="182">
        <v>2005011</v>
      </c>
      <c r="F57" s="182" t="s">
        <v>340</v>
      </c>
      <c r="G57" s="192" t="s">
        <v>343</v>
      </c>
      <c r="H57" s="182" t="s">
        <v>87</v>
      </c>
      <c r="I57" s="187">
        <v>1.93</v>
      </c>
      <c r="J57" s="182" t="s">
        <v>304</v>
      </c>
      <c r="K57" s="188">
        <v>1063000</v>
      </c>
      <c r="L57" s="191">
        <f t="shared" si="10"/>
        <v>531500</v>
      </c>
      <c r="M57" s="188">
        <f t="shared" si="11"/>
        <v>531500</v>
      </c>
      <c r="N57" s="186">
        <v>0.5</v>
      </c>
      <c r="O57" s="216">
        <v>0</v>
      </c>
      <c r="P57" s="216">
        <v>0</v>
      </c>
      <c r="Q57" s="216">
        <v>0</v>
      </c>
      <c r="R57" s="216">
        <v>0</v>
      </c>
      <c r="S57" s="216">
        <v>0</v>
      </c>
      <c r="T57" s="216">
        <v>0</v>
      </c>
      <c r="U57" s="216">
        <f>L57</f>
        <v>531500</v>
      </c>
      <c r="V57" s="216">
        <v>0</v>
      </c>
      <c r="W57" s="216">
        <v>0</v>
      </c>
      <c r="X57" s="216">
        <v>0</v>
      </c>
      <c r="Y57" s="216">
        <v>0</v>
      </c>
      <c r="Z57" s="230">
        <v>0</v>
      </c>
      <c r="AA57" s="1" t="b">
        <f t="shared" si="1"/>
        <v>1</v>
      </c>
      <c r="AB57" s="43">
        <f t="shared" si="2"/>
        <v>0.5</v>
      </c>
      <c r="AC57" s="44" t="b">
        <f t="shared" si="3"/>
        <v>1</v>
      </c>
      <c r="AD57" s="44" t="b">
        <f t="shared" si="4"/>
        <v>1</v>
      </c>
    </row>
    <row r="58" spans="1:30" s="4" customFormat="1" ht="37.5" customHeight="1" x14ac:dyDescent="0.25">
      <c r="A58" s="195">
        <v>56</v>
      </c>
      <c r="B58" s="182">
        <v>21</v>
      </c>
      <c r="C58" s="142" t="s">
        <v>299</v>
      </c>
      <c r="D58" s="182" t="s">
        <v>344</v>
      </c>
      <c r="E58" s="182">
        <v>2009042</v>
      </c>
      <c r="F58" s="182" t="s">
        <v>345</v>
      </c>
      <c r="G58" s="192" t="s">
        <v>346</v>
      </c>
      <c r="H58" s="182" t="s">
        <v>83</v>
      </c>
      <c r="I58" s="187">
        <v>1.51</v>
      </c>
      <c r="J58" s="182" t="s">
        <v>347</v>
      </c>
      <c r="K58" s="188">
        <v>1944989.12</v>
      </c>
      <c r="L58" s="191">
        <f t="shared" si="10"/>
        <v>972494.56</v>
      </c>
      <c r="M58" s="188">
        <f t="shared" si="11"/>
        <v>972494.56</v>
      </c>
      <c r="N58" s="186">
        <v>0.5</v>
      </c>
      <c r="O58" s="216">
        <v>0</v>
      </c>
      <c r="P58" s="216">
        <v>0</v>
      </c>
      <c r="Q58" s="216">
        <v>0</v>
      </c>
      <c r="R58" s="216">
        <v>0</v>
      </c>
      <c r="S58" s="216">
        <v>0</v>
      </c>
      <c r="T58" s="216">
        <v>0</v>
      </c>
      <c r="U58" s="216">
        <f>L58</f>
        <v>972494.56</v>
      </c>
      <c r="V58" s="216">
        <v>0</v>
      </c>
      <c r="W58" s="216">
        <v>0</v>
      </c>
      <c r="X58" s="216">
        <v>0</v>
      </c>
      <c r="Y58" s="216">
        <v>0</v>
      </c>
      <c r="Z58" s="230">
        <v>0</v>
      </c>
      <c r="AA58" s="1" t="b">
        <f t="shared" si="1"/>
        <v>1</v>
      </c>
      <c r="AB58" s="43">
        <f t="shared" si="2"/>
        <v>0.5</v>
      </c>
      <c r="AC58" s="44" t="b">
        <f t="shared" si="3"/>
        <v>1</v>
      </c>
      <c r="AD58" s="44" t="b">
        <f t="shared" si="4"/>
        <v>1</v>
      </c>
    </row>
    <row r="59" spans="1:30" s="4" customFormat="1" ht="37.5" customHeight="1" x14ac:dyDescent="0.25">
      <c r="A59" s="195">
        <v>57</v>
      </c>
      <c r="B59" s="182">
        <v>72</v>
      </c>
      <c r="C59" s="142" t="s">
        <v>299</v>
      </c>
      <c r="D59" s="182" t="s">
        <v>326</v>
      </c>
      <c r="E59" s="182">
        <v>2001032</v>
      </c>
      <c r="F59" s="182" t="s">
        <v>319</v>
      </c>
      <c r="G59" s="192" t="s">
        <v>348</v>
      </c>
      <c r="H59" s="182" t="s">
        <v>83</v>
      </c>
      <c r="I59" s="187">
        <v>1.1000000000000001</v>
      </c>
      <c r="J59" s="182" t="s">
        <v>328</v>
      </c>
      <c r="K59" s="188">
        <v>916236.5</v>
      </c>
      <c r="L59" s="191">
        <f t="shared" si="10"/>
        <v>458118.25</v>
      </c>
      <c r="M59" s="188">
        <f t="shared" si="11"/>
        <v>458118.25</v>
      </c>
      <c r="N59" s="186">
        <v>0.5</v>
      </c>
      <c r="O59" s="216">
        <v>0</v>
      </c>
      <c r="P59" s="216">
        <v>0</v>
      </c>
      <c r="Q59" s="216">
        <v>0</v>
      </c>
      <c r="R59" s="216">
        <v>0</v>
      </c>
      <c r="S59" s="216">
        <v>0</v>
      </c>
      <c r="T59" s="216">
        <v>0</v>
      </c>
      <c r="U59" s="216">
        <f>L59</f>
        <v>458118.25</v>
      </c>
      <c r="V59" s="216">
        <v>0</v>
      </c>
      <c r="W59" s="216">
        <v>0</v>
      </c>
      <c r="X59" s="216">
        <v>0</v>
      </c>
      <c r="Y59" s="216">
        <v>0</v>
      </c>
      <c r="Z59" s="230">
        <v>0</v>
      </c>
      <c r="AA59" s="1" t="b">
        <f t="shared" si="1"/>
        <v>1</v>
      </c>
      <c r="AB59" s="43">
        <f t="shared" si="2"/>
        <v>0.5</v>
      </c>
      <c r="AC59" s="44" t="b">
        <f t="shared" si="3"/>
        <v>1</v>
      </c>
      <c r="AD59" s="44" t="b">
        <f t="shared" si="4"/>
        <v>1</v>
      </c>
    </row>
    <row r="60" spans="1:30" s="4" customFormat="1" ht="37.5" customHeight="1" x14ac:dyDescent="0.25">
      <c r="A60" s="195">
        <v>58</v>
      </c>
      <c r="B60" s="182">
        <v>365</v>
      </c>
      <c r="C60" s="142" t="s">
        <v>299</v>
      </c>
      <c r="D60" s="182" t="s">
        <v>349</v>
      </c>
      <c r="E60" s="182">
        <v>2002032</v>
      </c>
      <c r="F60" s="182" t="s">
        <v>306</v>
      </c>
      <c r="G60" s="192" t="s">
        <v>350</v>
      </c>
      <c r="H60" s="182" t="s">
        <v>83</v>
      </c>
      <c r="I60" s="187">
        <v>0.88</v>
      </c>
      <c r="J60" s="182" t="s">
        <v>312</v>
      </c>
      <c r="K60" s="188">
        <v>2863000</v>
      </c>
      <c r="L60" s="191">
        <f t="shared" si="10"/>
        <v>1431500</v>
      </c>
      <c r="M60" s="188">
        <f t="shared" si="11"/>
        <v>1431500</v>
      </c>
      <c r="N60" s="186">
        <v>0.5</v>
      </c>
      <c r="O60" s="230">
        <v>0</v>
      </c>
      <c r="P60" s="230">
        <v>0</v>
      </c>
      <c r="Q60" s="230">
        <v>0</v>
      </c>
      <c r="R60" s="230">
        <v>0</v>
      </c>
      <c r="S60" s="216">
        <v>0</v>
      </c>
      <c r="T60" s="216">
        <v>0</v>
      </c>
      <c r="U60" s="216">
        <f>L60</f>
        <v>1431500</v>
      </c>
      <c r="V60" s="216">
        <v>0</v>
      </c>
      <c r="W60" s="216">
        <v>0</v>
      </c>
      <c r="X60" s="216">
        <v>0</v>
      </c>
      <c r="Y60" s="216">
        <v>0</v>
      </c>
      <c r="Z60" s="230">
        <v>0</v>
      </c>
      <c r="AA60" s="1" t="b">
        <f t="shared" si="1"/>
        <v>1</v>
      </c>
      <c r="AB60" s="43">
        <f t="shared" si="2"/>
        <v>0.5</v>
      </c>
      <c r="AC60" s="44" t="b">
        <f t="shared" si="3"/>
        <v>1</v>
      </c>
      <c r="AD60" s="44" t="b">
        <f t="shared" si="4"/>
        <v>1</v>
      </c>
    </row>
    <row r="61" spans="1:30" s="4" customFormat="1" ht="37.5" customHeight="1" x14ac:dyDescent="0.25">
      <c r="A61" s="155">
        <v>59</v>
      </c>
      <c r="B61" s="179">
        <v>203</v>
      </c>
      <c r="C61" s="144" t="s">
        <v>300</v>
      </c>
      <c r="D61" s="179" t="s">
        <v>351</v>
      </c>
      <c r="E61" s="179">
        <v>2012012</v>
      </c>
      <c r="F61" s="179" t="s">
        <v>352</v>
      </c>
      <c r="G61" s="193" t="s">
        <v>353</v>
      </c>
      <c r="H61" s="179" t="s">
        <v>83</v>
      </c>
      <c r="I61" s="148">
        <v>0.65300000000000002</v>
      </c>
      <c r="J61" s="179" t="s">
        <v>354</v>
      </c>
      <c r="K61" s="57">
        <v>1400837.92</v>
      </c>
      <c r="L61" s="151">
        <f t="shared" si="10"/>
        <v>700418.96</v>
      </c>
      <c r="M61" s="57">
        <f t="shared" si="11"/>
        <v>700418.96</v>
      </c>
      <c r="N61" s="152">
        <v>0.5</v>
      </c>
      <c r="O61" s="154">
        <v>0</v>
      </c>
      <c r="P61" s="154">
        <v>0</v>
      </c>
      <c r="Q61" s="154">
        <v>0</v>
      </c>
      <c r="R61" s="154">
        <v>0</v>
      </c>
      <c r="S61" s="154">
        <v>0</v>
      </c>
      <c r="T61" s="154">
        <v>0</v>
      </c>
      <c r="U61" s="154">
        <v>25167.58</v>
      </c>
      <c r="V61" s="154">
        <v>675251.38</v>
      </c>
      <c r="W61" s="154">
        <v>0</v>
      </c>
      <c r="X61" s="154">
        <v>0</v>
      </c>
      <c r="Y61" s="154">
        <v>0</v>
      </c>
      <c r="Z61" s="153">
        <v>0</v>
      </c>
      <c r="AA61" s="1" t="b">
        <f t="shared" si="1"/>
        <v>1</v>
      </c>
      <c r="AB61" s="43">
        <f t="shared" si="2"/>
        <v>0.5</v>
      </c>
      <c r="AC61" s="44" t="b">
        <f t="shared" si="3"/>
        <v>1</v>
      </c>
      <c r="AD61" s="44" t="b">
        <f t="shared" si="4"/>
        <v>1</v>
      </c>
    </row>
    <row r="62" spans="1:30" s="4" customFormat="1" ht="37.5" customHeight="1" x14ac:dyDescent="0.25">
      <c r="A62" s="195">
        <v>60</v>
      </c>
      <c r="B62" s="182">
        <v>44</v>
      </c>
      <c r="C62" s="142" t="s">
        <v>299</v>
      </c>
      <c r="D62" s="182" t="s">
        <v>355</v>
      </c>
      <c r="E62" s="182">
        <v>2009022</v>
      </c>
      <c r="F62" s="182" t="s">
        <v>345</v>
      </c>
      <c r="G62" s="192" t="s">
        <v>356</v>
      </c>
      <c r="H62" s="182" t="s">
        <v>83</v>
      </c>
      <c r="I62" s="187">
        <v>0.6</v>
      </c>
      <c r="J62" s="182" t="s">
        <v>357</v>
      </c>
      <c r="K62" s="188">
        <v>1102500</v>
      </c>
      <c r="L62" s="191">
        <f t="shared" si="10"/>
        <v>551250</v>
      </c>
      <c r="M62" s="188">
        <f t="shared" si="11"/>
        <v>551250</v>
      </c>
      <c r="N62" s="186">
        <v>0.5</v>
      </c>
      <c r="O62" s="230">
        <v>0</v>
      </c>
      <c r="P62" s="230">
        <v>0</v>
      </c>
      <c r="Q62" s="230">
        <v>0</v>
      </c>
      <c r="R62" s="230">
        <v>0</v>
      </c>
      <c r="S62" s="216">
        <v>0</v>
      </c>
      <c r="T62" s="216">
        <v>0</v>
      </c>
      <c r="U62" s="216">
        <f>L62</f>
        <v>551250</v>
      </c>
      <c r="V62" s="216">
        <v>0</v>
      </c>
      <c r="W62" s="216">
        <v>0</v>
      </c>
      <c r="X62" s="216">
        <v>0</v>
      </c>
      <c r="Y62" s="216">
        <v>0</v>
      </c>
      <c r="Z62" s="230">
        <v>0</v>
      </c>
      <c r="AA62" s="1" t="b">
        <f t="shared" si="1"/>
        <v>1</v>
      </c>
      <c r="AB62" s="43">
        <f t="shared" si="2"/>
        <v>0.5</v>
      </c>
      <c r="AC62" s="44" t="b">
        <f t="shared" si="3"/>
        <v>1</v>
      </c>
      <c r="AD62" s="44" t="b">
        <f t="shared" si="4"/>
        <v>1</v>
      </c>
    </row>
    <row r="63" spans="1:30" s="4" customFormat="1" ht="37.5" customHeight="1" x14ac:dyDescent="0.25">
      <c r="A63" s="155">
        <v>61</v>
      </c>
      <c r="B63" s="179">
        <v>4</v>
      </c>
      <c r="C63" s="144" t="s">
        <v>300</v>
      </c>
      <c r="D63" s="179" t="s">
        <v>358</v>
      </c>
      <c r="E63" s="179">
        <v>2002112</v>
      </c>
      <c r="F63" s="179" t="s">
        <v>306</v>
      </c>
      <c r="G63" s="193" t="s">
        <v>359</v>
      </c>
      <c r="H63" s="179" t="s">
        <v>83</v>
      </c>
      <c r="I63" s="148">
        <v>0.49099999999999999</v>
      </c>
      <c r="J63" s="179" t="s">
        <v>360</v>
      </c>
      <c r="K63" s="57">
        <v>2930900</v>
      </c>
      <c r="L63" s="151">
        <f>ROUNDDOWN(K63*N63,2)</f>
        <v>1465450</v>
      </c>
      <c r="M63" s="57">
        <f>K63-L63</f>
        <v>1465450</v>
      </c>
      <c r="N63" s="152">
        <v>0.5</v>
      </c>
      <c r="O63" s="153">
        <v>0</v>
      </c>
      <c r="P63" s="153">
        <v>0</v>
      </c>
      <c r="Q63" s="153">
        <v>0</v>
      </c>
      <c r="R63" s="153">
        <v>0</v>
      </c>
      <c r="S63" s="154">
        <v>0</v>
      </c>
      <c r="T63" s="154">
        <v>0</v>
      </c>
      <c r="U63" s="154">
        <v>15450</v>
      </c>
      <c r="V63" s="154">
        <v>1450000</v>
      </c>
      <c r="W63" s="154">
        <v>0</v>
      </c>
      <c r="X63" s="154">
        <v>0</v>
      </c>
      <c r="Y63" s="154">
        <v>0</v>
      </c>
      <c r="Z63" s="153">
        <v>0</v>
      </c>
      <c r="AA63" s="1" t="b">
        <f t="shared" si="1"/>
        <v>1</v>
      </c>
      <c r="AB63" s="43">
        <f t="shared" si="2"/>
        <v>0.5</v>
      </c>
      <c r="AC63" s="44" t="b">
        <f t="shared" si="3"/>
        <v>1</v>
      </c>
      <c r="AD63" s="44" t="b">
        <f t="shared" si="4"/>
        <v>1</v>
      </c>
    </row>
    <row r="64" spans="1:30" s="4" customFormat="1" ht="37.5" customHeight="1" x14ac:dyDescent="0.25">
      <c r="A64" s="195">
        <v>62</v>
      </c>
      <c r="B64" s="182">
        <v>343</v>
      </c>
      <c r="C64" s="142" t="s">
        <v>299</v>
      </c>
      <c r="D64" s="182" t="s">
        <v>361</v>
      </c>
      <c r="E64" s="182">
        <v>2002133</v>
      </c>
      <c r="F64" s="182" t="s">
        <v>306</v>
      </c>
      <c r="G64" s="192" t="s">
        <v>362</v>
      </c>
      <c r="H64" s="182" t="s">
        <v>83</v>
      </c>
      <c r="I64" s="187">
        <v>0.27500000000000002</v>
      </c>
      <c r="J64" s="182" t="s">
        <v>304</v>
      </c>
      <c r="K64" s="188">
        <v>1705000</v>
      </c>
      <c r="L64" s="191">
        <f t="shared" si="10"/>
        <v>852500</v>
      </c>
      <c r="M64" s="188">
        <f t="shared" si="11"/>
        <v>852500</v>
      </c>
      <c r="N64" s="186">
        <v>0.5</v>
      </c>
      <c r="O64" s="216">
        <v>0</v>
      </c>
      <c r="P64" s="216">
        <v>0</v>
      </c>
      <c r="Q64" s="216">
        <v>0</v>
      </c>
      <c r="R64" s="216">
        <v>0</v>
      </c>
      <c r="S64" s="216">
        <v>0</v>
      </c>
      <c r="T64" s="216">
        <v>0</v>
      </c>
      <c r="U64" s="216">
        <f>L64</f>
        <v>852500</v>
      </c>
      <c r="V64" s="216">
        <v>0</v>
      </c>
      <c r="W64" s="216">
        <v>0</v>
      </c>
      <c r="X64" s="216">
        <v>0</v>
      </c>
      <c r="Y64" s="216">
        <v>0</v>
      </c>
      <c r="Z64" s="230">
        <v>0</v>
      </c>
      <c r="AA64" s="1" t="b">
        <f t="shared" si="1"/>
        <v>1</v>
      </c>
      <c r="AB64" s="43">
        <f t="shared" si="2"/>
        <v>0.5</v>
      </c>
      <c r="AC64" s="44" t="b">
        <f t="shared" si="3"/>
        <v>1</v>
      </c>
      <c r="AD64" s="44" t="b">
        <f t="shared" si="4"/>
        <v>1</v>
      </c>
    </row>
    <row r="65" spans="1:30" s="4" customFormat="1" ht="37.5" customHeight="1" x14ac:dyDescent="0.25">
      <c r="A65" s="155">
        <v>63</v>
      </c>
      <c r="B65" s="179">
        <v>226</v>
      </c>
      <c r="C65" s="144" t="s">
        <v>300</v>
      </c>
      <c r="D65" s="179" t="s">
        <v>363</v>
      </c>
      <c r="E65" s="179">
        <v>2002093</v>
      </c>
      <c r="F65" s="179" t="s">
        <v>306</v>
      </c>
      <c r="G65" s="193" t="s">
        <v>364</v>
      </c>
      <c r="H65" s="179" t="s">
        <v>85</v>
      </c>
      <c r="I65" s="148">
        <v>1.4359999999999999</v>
      </c>
      <c r="J65" s="179" t="s">
        <v>278</v>
      </c>
      <c r="K65" s="57">
        <v>17579514.23</v>
      </c>
      <c r="L65" s="151">
        <f t="shared" si="10"/>
        <v>8789757.1099999994</v>
      </c>
      <c r="M65" s="57">
        <f t="shared" si="11"/>
        <v>8789757.120000001</v>
      </c>
      <c r="N65" s="152">
        <v>0.5</v>
      </c>
      <c r="O65" s="154">
        <v>0</v>
      </c>
      <c r="P65" s="154">
        <v>0</v>
      </c>
      <c r="Q65" s="154">
        <v>0</v>
      </c>
      <c r="R65" s="154">
        <v>0</v>
      </c>
      <c r="S65" s="154">
        <v>0</v>
      </c>
      <c r="T65" s="154">
        <v>0</v>
      </c>
      <c r="U65" s="154">
        <v>2314768.5</v>
      </c>
      <c r="V65" s="154">
        <v>3237494.31</v>
      </c>
      <c r="W65" s="154">
        <v>3237494.3</v>
      </c>
      <c r="X65" s="154">
        <v>0</v>
      </c>
      <c r="Y65" s="154">
        <v>0</v>
      </c>
      <c r="Z65" s="153">
        <v>0</v>
      </c>
      <c r="AA65" s="1" t="b">
        <f t="shared" si="1"/>
        <v>1</v>
      </c>
      <c r="AB65" s="43">
        <f t="shared" si="2"/>
        <v>0.5</v>
      </c>
      <c r="AC65" s="44" t="b">
        <f t="shared" si="3"/>
        <v>1</v>
      </c>
      <c r="AD65" s="44" t="b">
        <f t="shared" si="4"/>
        <v>1</v>
      </c>
    </row>
    <row r="66" spans="1:30" s="4" customFormat="1" ht="37.5" customHeight="1" x14ac:dyDescent="0.25">
      <c r="A66" s="195">
        <v>64</v>
      </c>
      <c r="B66" s="182">
        <v>169</v>
      </c>
      <c r="C66" s="142" t="s">
        <v>299</v>
      </c>
      <c r="D66" s="182" t="s">
        <v>365</v>
      </c>
      <c r="E66" s="182">
        <v>2013082</v>
      </c>
      <c r="F66" s="182" t="s">
        <v>314</v>
      </c>
      <c r="G66" s="192" t="s">
        <v>366</v>
      </c>
      <c r="H66" s="182" t="s">
        <v>87</v>
      </c>
      <c r="I66" s="187">
        <v>0.77</v>
      </c>
      <c r="J66" s="182" t="s">
        <v>391</v>
      </c>
      <c r="K66" s="188">
        <v>1004889.63</v>
      </c>
      <c r="L66" s="191">
        <f t="shared" si="10"/>
        <v>502444.81</v>
      </c>
      <c r="M66" s="188">
        <f t="shared" si="11"/>
        <v>502444.82</v>
      </c>
      <c r="N66" s="186">
        <v>0.5</v>
      </c>
      <c r="O66" s="230">
        <v>0</v>
      </c>
      <c r="P66" s="230">
        <v>0</v>
      </c>
      <c r="Q66" s="230">
        <v>0</v>
      </c>
      <c r="R66" s="230">
        <v>0</v>
      </c>
      <c r="S66" s="216">
        <v>0</v>
      </c>
      <c r="T66" s="216">
        <v>0</v>
      </c>
      <c r="U66" s="216">
        <f t="shared" ref="U66:U78" si="13">L66</f>
        <v>502444.81</v>
      </c>
      <c r="V66" s="216">
        <v>0</v>
      </c>
      <c r="W66" s="216">
        <v>0</v>
      </c>
      <c r="X66" s="216">
        <v>0</v>
      </c>
      <c r="Y66" s="216">
        <v>0</v>
      </c>
      <c r="Z66" s="230">
        <v>0</v>
      </c>
      <c r="AA66" s="1" t="b">
        <f t="shared" si="1"/>
        <v>1</v>
      </c>
      <c r="AB66" s="43">
        <f t="shared" si="2"/>
        <v>0.5</v>
      </c>
      <c r="AC66" s="44" t="b">
        <f t="shared" ref="AC66:AC100" si="14">AB66=N66</f>
        <v>1</v>
      </c>
      <c r="AD66" s="44" t="b">
        <f t="shared" si="4"/>
        <v>1</v>
      </c>
    </row>
    <row r="67" spans="1:30" s="4" customFormat="1" ht="37.5" customHeight="1" x14ac:dyDescent="0.25">
      <c r="A67" s="142">
        <v>65</v>
      </c>
      <c r="B67" s="142">
        <v>92</v>
      </c>
      <c r="C67" s="142" t="s">
        <v>299</v>
      </c>
      <c r="D67" s="142" t="s">
        <v>72</v>
      </c>
      <c r="E67" s="142">
        <v>2010011</v>
      </c>
      <c r="F67" s="142" t="s">
        <v>367</v>
      </c>
      <c r="G67" s="194" t="s">
        <v>368</v>
      </c>
      <c r="H67" s="195" t="s">
        <v>87</v>
      </c>
      <c r="I67" s="185">
        <v>0.74199999999999999</v>
      </c>
      <c r="J67" s="182" t="s">
        <v>304</v>
      </c>
      <c r="K67" s="191">
        <v>1340160.8500000001</v>
      </c>
      <c r="L67" s="191">
        <f t="shared" si="10"/>
        <v>670080.42000000004</v>
      </c>
      <c r="M67" s="191">
        <f t="shared" si="11"/>
        <v>670080.43000000005</v>
      </c>
      <c r="N67" s="196">
        <v>0.5</v>
      </c>
      <c r="O67" s="242">
        <v>0</v>
      </c>
      <c r="P67" s="242">
        <v>0</v>
      </c>
      <c r="Q67" s="242">
        <v>0</v>
      </c>
      <c r="R67" s="242">
        <v>0</v>
      </c>
      <c r="S67" s="216">
        <v>0</v>
      </c>
      <c r="T67" s="216">
        <v>0</v>
      </c>
      <c r="U67" s="216">
        <f t="shared" si="13"/>
        <v>670080.42000000004</v>
      </c>
      <c r="V67" s="216">
        <v>0</v>
      </c>
      <c r="W67" s="216">
        <v>0</v>
      </c>
      <c r="X67" s="216">
        <v>0</v>
      </c>
      <c r="Y67" s="216">
        <v>0</v>
      </c>
      <c r="Z67" s="216">
        <v>0</v>
      </c>
      <c r="AA67" s="1" t="b">
        <f t="shared" si="1"/>
        <v>1</v>
      </c>
      <c r="AB67" s="43">
        <f t="shared" si="2"/>
        <v>0.5</v>
      </c>
      <c r="AC67" s="44" t="b">
        <f t="shared" si="14"/>
        <v>1</v>
      </c>
      <c r="AD67" s="44" t="b">
        <f t="shared" si="4"/>
        <v>1</v>
      </c>
    </row>
    <row r="68" spans="1:30" s="4" customFormat="1" ht="37.5" customHeight="1" x14ac:dyDescent="0.25">
      <c r="A68" s="195">
        <v>66</v>
      </c>
      <c r="B68" s="182">
        <v>148</v>
      </c>
      <c r="C68" s="142" t="s">
        <v>299</v>
      </c>
      <c r="D68" s="182" t="s">
        <v>157</v>
      </c>
      <c r="E68" s="182">
        <v>2002143</v>
      </c>
      <c r="F68" s="182" t="s">
        <v>306</v>
      </c>
      <c r="G68" s="192" t="s">
        <v>369</v>
      </c>
      <c r="H68" s="182" t="s">
        <v>83</v>
      </c>
      <c r="I68" s="187">
        <v>0.63900000000000001</v>
      </c>
      <c r="J68" s="182" t="s">
        <v>276</v>
      </c>
      <c r="K68" s="188">
        <v>697013.48</v>
      </c>
      <c r="L68" s="191">
        <f>ROUNDDOWN(K68*N68,2)</f>
        <v>348506.74</v>
      </c>
      <c r="M68" s="188">
        <f>K68-L68</f>
        <v>348506.74</v>
      </c>
      <c r="N68" s="186">
        <v>0.5</v>
      </c>
      <c r="O68" s="230">
        <v>0</v>
      </c>
      <c r="P68" s="230">
        <v>0</v>
      </c>
      <c r="Q68" s="230">
        <v>0</v>
      </c>
      <c r="R68" s="230">
        <v>0</v>
      </c>
      <c r="S68" s="216">
        <v>0</v>
      </c>
      <c r="T68" s="216">
        <v>0</v>
      </c>
      <c r="U68" s="216">
        <f>L68</f>
        <v>348506.74</v>
      </c>
      <c r="V68" s="216">
        <v>0</v>
      </c>
      <c r="W68" s="216">
        <v>0</v>
      </c>
      <c r="X68" s="216">
        <v>0</v>
      </c>
      <c r="Y68" s="216">
        <v>0</v>
      </c>
      <c r="Z68" s="230">
        <v>0</v>
      </c>
      <c r="AA68" s="1" t="b">
        <f t="shared" si="1"/>
        <v>1</v>
      </c>
      <c r="AB68" s="43">
        <f t="shared" si="2"/>
        <v>0.5</v>
      </c>
      <c r="AC68" s="44" t="b">
        <f t="shared" si="14"/>
        <v>1</v>
      </c>
      <c r="AD68" s="44" t="b">
        <f t="shared" si="4"/>
        <v>1</v>
      </c>
    </row>
    <row r="69" spans="1:30" s="4" customFormat="1" ht="37.5" customHeight="1" x14ac:dyDescent="0.25">
      <c r="A69" s="195">
        <v>67</v>
      </c>
      <c r="B69" s="182">
        <v>294</v>
      </c>
      <c r="C69" s="142" t="s">
        <v>299</v>
      </c>
      <c r="D69" s="182" t="s">
        <v>305</v>
      </c>
      <c r="E69" s="182">
        <v>2002073</v>
      </c>
      <c r="F69" s="182" t="s">
        <v>306</v>
      </c>
      <c r="G69" s="192" t="s">
        <v>370</v>
      </c>
      <c r="H69" s="182" t="s">
        <v>83</v>
      </c>
      <c r="I69" s="187">
        <v>0.63800000000000001</v>
      </c>
      <c r="J69" s="182" t="s">
        <v>304</v>
      </c>
      <c r="K69" s="188">
        <v>2469940.14</v>
      </c>
      <c r="L69" s="191">
        <f t="shared" si="10"/>
        <v>1234970.07</v>
      </c>
      <c r="M69" s="188">
        <f t="shared" si="11"/>
        <v>1234970.07</v>
      </c>
      <c r="N69" s="186">
        <v>0.5</v>
      </c>
      <c r="O69" s="216">
        <v>0</v>
      </c>
      <c r="P69" s="216">
        <v>0</v>
      </c>
      <c r="Q69" s="216">
        <v>0</v>
      </c>
      <c r="R69" s="216">
        <v>0</v>
      </c>
      <c r="S69" s="216">
        <v>0</v>
      </c>
      <c r="T69" s="216">
        <v>0</v>
      </c>
      <c r="U69" s="216">
        <f t="shared" si="13"/>
        <v>1234970.07</v>
      </c>
      <c r="V69" s="216">
        <v>0</v>
      </c>
      <c r="W69" s="216">
        <v>0</v>
      </c>
      <c r="X69" s="216">
        <v>0</v>
      </c>
      <c r="Y69" s="216">
        <v>0</v>
      </c>
      <c r="Z69" s="230">
        <v>0</v>
      </c>
      <c r="AA69" s="1" t="b">
        <f t="shared" si="1"/>
        <v>1</v>
      </c>
      <c r="AB69" s="43">
        <f t="shared" si="2"/>
        <v>0.5</v>
      </c>
      <c r="AC69" s="44" t="b">
        <f t="shared" si="14"/>
        <v>1</v>
      </c>
      <c r="AD69" s="44" t="b">
        <f t="shared" si="4"/>
        <v>1</v>
      </c>
    </row>
    <row r="70" spans="1:30" s="4" customFormat="1" ht="37.5" customHeight="1" x14ac:dyDescent="0.25">
      <c r="A70" s="142">
        <v>68</v>
      </c>
      <c r="B70" s="142">
        <v>94</v>
      </c>
      <c r="C70" s="142" t="s">
        <v>299</v>
      </c>
      <c r="D70" s="142" t="s">
        <v>72</v>
      </c>
      <c r="E70" s="142">
        <v>2010011</v>
      </c>
      <c r="F70" s="142" t="s">
        <v>367</v>
      </c>
      <c r="G70" s="194" t="s">
        <v>371</v>
      </c>
      <c r="H70" s="195" t="s">
        <v>83</v>
      </c>
      <c r="I70" s="185">
        <v>0.54400000000000004</v>
      </c>
      <c r="J70" s="182" t="s">
        <v>304</v>
      </c>
      <c r="K70" s="191">
        <v>565726.46</v>
      </c>
      <c r="L70" s="191">
        <f t="shared" si="10"/>
        <v>282863.23</v>
      </c>
      <c r="M70" s="191">
        <f t="shared" si="11"/>
        <v>282863.23</v>
      </c>
      <c r="N70" s="196">
        <v>0.5</v>
      </c>
      <c r="O70" s="242">
        <v>0</v>
      </c>
      <c r="P70" s="242">
        <v>0</v>
      </c>
      <c r="Q70" s="242">
        <v>0</v>
      </c>
      <c r="R70" s="242">
        <v>0</v>
      </c>
      <c r="S70" s="216">
        <v>0</v>
      </c>
      <c r="T70" s="216">
        <v>0</v>
      </c>
      <c r="U70" s="216">
        <f t="shared" si="13"/>
        <v>282863.23</v>
      </c>
      <c r="V70" s="216">
        <v>0</v>
      </c>
      <c r="W70" s="216">
        <v>0</v>
      </c>
      <c r="X70" s="216">
        <v>0</v>
      </c>
      <c r="Y70" s="216">
        <v>0</v>
      </c>
      <c r="Z70" s="216">
        <v>0</v>
      </c>
      <c r="AA70" s="1" t="b">
        <f t="shared" si="1"/>
        <v>1</v>
      </c>
      <c r="AB70" s="43">
        <f t="shared" si="2"/>
        <v>0.5</v>
      </c>
      <c r="AC70" s="44" t="b">
        <f t="shared" si="14"/>
        <v>1</v>
      </c>
      <c r="AD70" s="44" t="b">
        <f t="shared" si="4"/>
        <v>1</v>
      </c>
    </row>
    <row r="71" spans="1:30" s="4" customFormat="1" ht="37.5" customHeight="1" x14ac:dyDescent="0.25">
      <c r="A71" s="195">
        <v>69</v>
      </c>
      <c r="B71" s="182">
        <v>359</v>
      </c>
      <c r="C71" s="142" t="s">
        <v>299</v>
      </c>
      <c r="D71" s="182" t="s">
        <v>372</v>
      </c>
      <c r="E71" s="182">
        <v>2011032</v>
      </c>
      <c r="F71" s="182" t="s">
        <v>308</v>
      </c>
      <c r="G71" s="192" t="s">
        <v>373</v>
      </c>
      <c r="H71" s="182" t="s">
        <v>85</v>
      </c>
      <c r="I71" s="187">
        <v>0.33200000000000002</v>
      </c>
      <c r="J71" s="182" t="s">
        <v>218</v>
      </c>
      <c r="K71" s="188">
        <v>512000</v>
      </c>
      <c r="L71" s="191">
        <f t="shared" si="10"/>
        <v>256000</v>
      </c>
      <c r="M71" s="188">
        <f t="shared" si="11"/>
        <v>256000</v>
      </c>
      <c r="N71" s="186">
        <v>0.5</v>
      </c>
      <c r="O71" s="216">
        <v>0</v>
      </c>
      <c r="P71" s="216">
        <v>0</v>
      </c>
      <c r="Q71" s="216">
        <v>0</v>
      </c>
      <c r="R71" s="216">
        <v>0</v>
      </c>
      <c r="S71" s="216">
        <v>0</v>
      </c>
      <c r="T71" s="216">
        <v>0</v>
      </c>
      <c r="U71" s="216">
        <f t="shared" si="13"/>
        <v>256000</v>
      </c>
      <c r="V71" s="216">
        <v>0</v>
      </c>
      <c r="W71" s="216">
        <v>0</v>
      </c>
      <c r="X71" s="216">
        <v>0</v>
      </c>
      <c r="Y71" s="216">
        <v>0</v>
      </c>
      <c r="Z71" s="230">
        <v>0</v>
      </c>
      <c r="AA71" s="1" t="b">
        <f t="shared" si="1"/>
        <v>1</v>
      </c>
      <c r="AB71" s="43">
        <f t="shared" si="2"/>
        <v>0.5</v>
      </c>
      <c r="AC71" s="44" t="b">
        <f t="shared" si="14"/>
        <v>1</v>
      </c>
      <c r="AD71" s="44" t="b">
        <f t="shared" si="4"/>
        <v>1</v>
      </c>
    </row>
    <row r="72" spans="1:30" s="4" customFormat="1" ht="37.5" customHeight="1" x14ac:dyDescent="0.25">
      <c r="A72" s="195">
        <v>70</v>
      </c>
      <c r="B72" s="182">
        <v>360</v>
      </c>
      <c r="C72" s="142" t="s">
        <v>299</v>
      </c>
      <c r="D72" s="182" t="s">
        <v>374</v>
      </c>
      <c r="E72" s="182">
        <v>2005092</v>
      </c>
      <c r="F72" s="182" t="s">
        <v>340</v>
      </c>
      <c r="G72" s="192" t="s">
        <v>375</v>
      </c>
      <c r="H72" s="182" t="s">
        <v>83</v>
      </c>
      <c r="I72" s="187">
        <v>0.28299999999999997</v>
      </c>
      <c r="J72" s="182" t="s">
        <v>328</v>
      </c>
      <c r="K72" s="188">
        <v>218626.05</v>
      </c>
      <c r="L72" s="191">
        <f t="shared" si="10"/>
        <v>109313.02</v>
      </c>
      <c r="M72" s="188">
        <f t="shared" ref="M72:M98" si="15">K72-L72</f>
        <v>109313.02999999998</v>
      </c>
      <c r="N72" s="186">
        <v>0.5</v>
      </c>
      <c r="O72" s="216">
        <v>0</v>
      </c>
      <c r="P72" s="216">
        <v>0</v>
      </c>
      <c r="Q72" s="216">
        <v>0</v>
      </c>
      <c r="R72" s="216">
        <v>0</v>
      </c>
      <c r="S72" s="216">
        <v>0</v>
      </c>
      <c r="T72" s="216">
        <v>0</v>
      </c>
      <c r="U72" s="216">
        <f t="shared" si="13"/>
        <v>109313.02</v>
      </c>
      <c r="V72" s="216">
        <v>0</v>
      </c>
      <c r="W72" s="216">
        <v>0</v>
      </c>
      <c r="X72" s="216">
        <v>0</v>
      </c>
      <c r="Y72" s="216">
        <v>0</v>
      </c>
      <c r="Z72" s="230">
        <v>0</v>
      </c>
      <c r="AA72" s="1" t="b">
        <f t="shared" si="1"/>
        <v>1</v>
      </c>
      <c r="AB72" s="43">
        <f t="shared" si="2"/>
        <v>0.5</v>
      </c>
      <c r="AC72" s="44" t="b">
        <f t="shared" si="14"/>
        <v>1</v>
      </c>
      <c r="AD72" s="44" t="b">
        <f t="shared" si="4"/>
        <v>1</v>
      </c>
    </row>
    <row r="73" spans="1:30" s="4" customFormat="1" ht="37.5" customHeight="1" x14ac:dyDescent="0.25">
      <c r="A73" s="142">
        <v>71</v>
      </c>
      <c r="B73" s="182">
        <v>171</v>
      </c>
      <c r="C73" s="182" t="s">
        <v>299</v>
      </c>
      <c r="D73" s="182" t="s">
        <v>376</v>
      </c>
      <c r="E73" s="182">
        <v>2012022</v>
      </c>
      <c r="F73" s="182" t="s">
        <v>352</v>
      </c>
      <c r="G73" s="192" t="s">
        <v>377</v>
      </c>
      <c r="H73" s="182" t="s">
        <v>85</v>
      </c>
      <c r="I73" s="187">
        <v>5.7000000000000002E-2</v>
      </c>
      <c r="J73" s="182" t="s">
        <v>378</v>
      </c>
      <c r="K73" s="188">
        <v>2081350</v>
      </c>
      <c r="L73" s="191">
        <f t="shared" si="10"/>
        <v>1040675</v>
      </c>
      <c r="M73" s="188">
        <f t="shared" si="15"/>
        <v>1040675</v>
      </c>
      <c r="N73" s="186">
        <v>0.5</v>
      </c>
      <c r="O73" s="216">
        <v>0</v>
      </c>
      <c r="P73" s="216">
        <v>0</v>
      </c>
      <c r="Q73" s="216">
        <v>0</v>
      </c>
      <c r="R73" s="216">
        <v>0</v>
      </c>
      <c r="S73" s="216">
        <v>0</v>
      </c>
      <c r="T73" s="216">
        <v>0</v>
      </c>
      <c r="U73" s="216">
        <f t="shared" si="13"/>
        <v>1040675</v>
      </c>
      <c r="V73" s="216">
        <v>0</v>
      </c>
      <c r="W73" s="216">
        <v>0</v>
      </c>
      <c r="X73" s="216">
        <v>0</v>
      </c>
      <c r="Y73" s="216">
        <v>0</v>
      </c>
      <c r="Z73" s="230">
        <v>0</v>
      </c>
      <c r="AA73" s="1" t="b">
        <f t="shared" si="1"/>
        <v>1</v>
      </c>
      <c r="AB73" s="43">
        <f t="shared" si="2"/>
        <v>0.5</v>
      </c>
      <c r="AC73" s="44" t="b">
        <f t="shared" si="14"/>
        <v>1</v>
      </c>
      <c r="AD73" s="44" t="b">
        <f t="shared" si="4"/>
        <v>1</v>
      </c>
    </row>
    <row r="74" spans="1:30" s="4" customFormat="1" ht="37.5" customHeight="1" x14ac:dyDescent="0.25">
      <c r="A74" s="195">
        <v>72</v>
      </c>
      <c r="B74" s="182">
        <v>36</v>
      </c>
      <c r="C74" s="182" t="s">
        <v>299</v>
      </c>
      <c r="D74" s="182" t="s">
        <v>379</v>
      </c>
      <c r="E74" s="182">
        <v>2003032</v>
      </c>
      <c r="F74" s="182" t="s">
        <v>323</v>
      </c>
      <c r="G74" s="192" t="s">
        <v>380</v>
      </c>
      <c r="H74" s="184" t="s">
        <v>85</v>
      </c>
      <c r="I74" s="185">
        <v>3.53</v>
      </c>
      <c r="J74" s="182" t="s">
        <v>248</v>
      </c>
      <c r="K74" s="188">
        <v>9005000</v>
      </c>
      <c r="L74" s="191">
        <f t="shared" si="10"/>
        <v>4502500</v>
      </c>
      <c r="M74" s="188">
        <f t="shared" si="15"/>
        <v>4502500</v>
      </c>
      <c r="N74" s="186">
        <v>0.5</v>
      </c>
      <c r="O74" s="216">
        <v>0</v>
      </c>
      <c r="P74" s="216">
        <v>0</v>
      </c>
      <c r="Q74" s="216">
        <v>0</v>
      </c>
      <c r="R74" s="216">
        <v>0</v>
      </c>
      <c r="S74" s="216">
        <v>0</v>
      </c>
      <c r="T74" s="216">
        <v>0</v>
      </c>
      <c r="U74" s="216">
        <f t="shared" si="13"/>
        <v>4502500</v>
      </c>
      <c r="V74" s="216">
        <v>0</v>
      </c>
      <c r="W74" s="216">
        <v>0</v>
      </c>
      <c r="X74" s="216">
        <v>0</v>
      </c>
      <c r="Y74" s="216">
        <v>0</v>
      </c>
      <c r="Z74" s="230">
        <v>0</v>
      </c>
      <c r="AA74" s="1" t="b">
        <f t="shared" si="1"/>
        <v>1</v>
      </c>
      <c r="AB74" s="43">
        <f t="shared" si="2"/>
        <v>0.5</v>
      </c>
      <c r="AC74" s="44" t="b">
        <f t="shared" si="14"/>
        <v>1</v>
      </c>
      <c r="AD74" s="44" t="b">
        <f t="shared" si="4"/>
        <v>1</v>
      </c>
    </row>
    <row r="75" spans="1:30" s="4" customFormat="1" ht="37.5" customHeight="1" x14ac:dyDescent="0.25">
      <c r="A75" s="195">
        <v>73</v>
      </c>
      <c r="B75" s="182">
        <v>19</v>
      </c>
      <c r="C75" s="142" t="s">
        <v>299</v>
      </c>
      <c r="D75" s="182" t="s">
        <v>381</v>
      </c>
      <c r="E75" s="182">
        <v>2004022</v>
      </c>
      <c r="F75" s="182" t="s">
        <v>382</v>
      </c>
      <c r="G75" s="192" t="s">
        <v>383</v>
      </c>
      <c r="H75" s="182" t="s">
        <v>85</v>
      </c>
      <c r="I75" s="187">
        <v>2.4289999999999998</v>
      </c>
      <c r="J75" s="182" t="s">
        <v>384</v>
      </c>
      <c r="K75" s="188">
        <v>3660870.37</v>
      </c>
      <c r="L75" s="191">
        <f t="shared" si="10"/>
        <v>1830435.18</v>
      </c>
      <c r="M75" s="188">
        <f t="shared" si="15"/>
        <v>1830435.1900000002</v>
      </c>
      <c r="N75" s="186">
        <v>0.5</v>
      </c>
      <c r="O75" s="216">
        <v>0</v>
      </c>
      <c r="P75" s="216">
        <v>0</v>
      </c>
      <c r="Q75" s="216">
        <v>0</v>
      </c>
      <c r="R75" s="216">
        <v>0</v>
      </c>
      <c r="S75" s="216">
        <v>0</v>
      </c>
      <c r="T75" s="216">
        <v>0</v>
      </c>
      <c r="U75" s="216">
        <f t="shared" si="13"/>
        <v>1830435.18</v>
      </c>
      <c r="V75" s="216">
        <v>0</v>
      </c>
      <c r="W75" s="216">
        <v>0</v>
      </c>
      <c r="X75" s="216">
        <v>0</v>
      </c>
      <c r="Y75" s="216">
        <v>0</v>
      </c>
      <c r="Z75" s="230">
        <v>0</v>
      </c>
      <c r="AA75" s="1" t="b">
        <f t="shared" si="1"/>
        <v>1</v>
      </c>
      <c r="AB75" s="43">
        <f t="shared" si="2"/>
        <v>0.5</v>
      </c>
      <c r="AC75" s="44" t="b">
        <f t="shared" si="14"/>
        <v>1</v>
      </c>
      <c r="AD75" s="44" t="b">
        <f t="shared" si="4"/>
        <v>1</v>
      </c>
    </row>
    <row r="76" spans="1:30" s="4" customFormat="1" ht="37.5" customHeight="1" x14ac:dyDescent="0.25">
      <c r="A76" s="195">
        <v>74</v>
      </c>
      <c r="B76" s="142">
        <v>124</v>
      </c>
      <c r="C76" s="142" t="s">
        <v>299</v>
      </c>
      <c r="D76" s="142" t="s">
        <v>385</v>
      </c>
      <c r="E76" s="142">
        <v>2013093</v>
      </c>
      <c r="F76" s="142" t="s">
        <v>314</v>
      </c>
      <c r="G76" s="194" t="s">
        <v>386</v>
      </c>
      <c r="H76" s="195" t="s">
        <v>85</v>
      </c>
      <c r="I76" s="185">
        <v>2.415</v>
      </c>
      <c r="J76" s="182" t="s">
        <v>328</v>
      </c>
      <c r="K76" s="191">
        <v>6002500</v>
      </c>
      <c r="L76" s="191">
        <f>ROUNDDOWN(K76*N76,2)</f>
        <v>3001250</v>
      </c>
      <c r="M76" s="191">
        <f>K76-L76</f>
        <v>3001250</v>
      </c>
      <c r="N76" s="186">
        <v>0.5</v>
      </c>
      <c r="O76" s="242">
        <v>0</v>
      </c>
      <c r="P76" s="242">
        <v>0</v>
      </c>
      <c r="Q76" s="242">
        <v>0</v>
      </c>
      <c r="R76" s="242">
        <v>0</v>
      </c>
      <c r="S76" s="216">
        <v>0</v>
      </c>
      <c r="T76" s="216">
        <v>0</v>
      </c>
      <c r="U76" s="216">
        <f>L76</f>
        <v>3001250</v>
      </c>
      <c r="V76" s="216">
        <v>0</v>
      </c>
      <c r="W76" s="216">
        <v>0</v>
      </c>
      <c r="X76" s="216">
        <v>0</v>
      </c>
      <c r="Y76" s="216">
        <v>0</v>
      </c>
      <c r="Z76" s="216">
        <v>0</v>
      </c>
      <c r="AA76" s="1" t="b">
        <f t="shared" si="1"/>
        <v>1</v>
      </c>
      <c r="AB76" s="43">
        <f t="shared" si="2"/>
        <v>0.5</v>
      </c>
      <c r="AC76" s="44" t="b">
        <f t="shared" si="14"/>
        <v>1</v>
      </c>
      <c r="AD76" s="44" t="b">
        <f t="shared" si="4"/>
        <v>1</v>
      </c>
    </row>
    <row r="77" spans="1:30" s="4" customFormat="1" ht="37.5" customHeight="1" x14ac:dyDescent="0.25">
      <c r="A77" s="195">
        <v>75</v>
      </c>
      <c r="B77" s="182">
        <v>372</v>
      </c>
      <c r="C77" s="142" t="s">
        <v>299</v>
      </c>
      <c r="D77" s="182" t="s">
        <v>387</v>
      </c>
      <c r="E77" s="182">
        <v>2004053</v>
      </c>
      <c r="F77" s="182" t="s">
        <v>382</v>
      </c>
      <c r="G77" s="192" t="s">
        <v>388</v>
      </c>
      <c r="H77" s="182" t="s">
        <v>83</v>
      </c>
      <c r="I77" s="187">
        <v>2.0249999999999999</v>
      </c>
      <c r="J77" s="182" t="s">
        <v>221</v>
      </c>
      <c r="K77" s="191">
        <v>4136784.25</v>
      </c>
      <c r="L77" s="191">
        <f>ROUNDDOWN(K77*N77,2)</f>
        <v>2068392.12</v>
      </c>
      <c r="M77" s="188">
        <f>K77-L77</f>
        <v>2068392.13</v>
      </c>
      <c r="N77" s="186">
        <v>0.5</v>
      </c>
      <c r="O77" s="216">
        <v>0</v>
      </c>
      <c r="P77" s="216">
        <v>0</v>
      </c>
      <c r="Q77" s="216">
        <v>0</v>
      </c>
      <c r="R77" s="216">
        <v>0</v>
      </c>
      <c r="S77" s="216">
        <v>0</v>
      </c>
      <c r="T77" s="216">
        <v>0</v>
      </c>
      <c r="U77" s="216">
        <f>L77</f>
        <v>2068392.12</v>
      </c>
      <c r="V77" s="216">
        <v>0</v>
      </c>
      <c r="W77" s="216">
        <v>0</v>
      </c>
      <c r="X77" s="216">
        <v>0</v>
      </c>
      <c r="Y77" s="216">
        <v>0</v>
      </c>
      <c r="Z77" s="230">
        <v>0</v>
      </c>
      <c r="AA77" s="1" t="b">
        <f t="shared" si="1"/>
        <v>1</v>
      </c>
      <c r="AB77" s="43">
        <f t="shared" si="2"/>
        <v>0.5</v>
      </c>
      <c r="AC77" s="44" t="b">
        <f t="shared" si="14"/>
        <v>1</v>
      </c>
      <c r="AD77" s="44" t="b">
        <f t="shared" si="4"/>
        <v>1</v>
      </c>
    </row>
    <row r="78" spans="1:30" s="4" customFormat="1" ht="37.5" customHeight="1" x14ac:dyDescent="0.25">
      <c r="A78" s="142">
        <v>76</v>
      </c>
      <c r="B78" s="142">
        <v>125</v>
      </c>
      <c r="C78" s="142" t="s">
        <v>299</v>
      </c>
      <c r="D78" s="142" t="s">
        <v>389</v>
      </c>
      <c r="E78" s="142">
        <v>2009052</v>
      </c>
      <c r="F78" s="142" t="s">
        <v>345</v>
      </c>
      <c r="G78" s="194" t="s">
        <v>390</v>
      </c>
      <c r="H78" s="195" t="s">
        <v>83</v>
      </c>
      <c r="I78" s="185">
        <v>1.859</v>
      </c>
      <c r="J78" s="182" t="s">
        <v>391</v>
      </c>
      <c r="K78" s="191">
        <v>3863104.21</v>
      </c>
      <c r="L78" s="191">
        <f t="shared" si="10"/>
        <v>3090483.36</v>
      </c>
      <c r="M78" s="191">
        <f t="shared" si="15"/>
        <v>772620.85000000009</v>
      </c>
      <c r="N78" s="196">
        <v>0.8</v>
      </c>
      <c r="O78" s="242">
        <v>0</v>
      </c>
      <c r="P78" s="242">
        <v>0</v>
      </c>
      <c r="Q78" s="242">
        <v>0</v>
      </c>
      <c r="R78" s="242">
        <v>0</v>
      </c>
      <c r="S78" s="216">
        <v>0</v>
      </c>
      <c r="T78" s="216">
        <v>0</v>
      </c>
      <c r="U78" s="216">
        <f t="shared" si="13"/>
        <v>3090483.36</v>
      </c>
      <c r="V78" s="216">
        <v>0</v>
      </c>
      <c r="W78" s="216">
        <v>0</v>
      </c>
      <c r="X78" s="216">
        <v>0</v>
      </c>
      <c r="Y78" s="216">
        <v>0</v>
      </c>
      <c r="Z78" s="216">
        <v>0</v>
      </c>
      <c r="AA78" s="1" t="b">
        <f t="shared" si="1"/>
        <v>1</v>
      </c>
      <c r="AB78" s="43">
        <f t="shared" si="2"/>
        <v>0.8</v>
      </c>
      <c r="AC78" s="44" t="b">
        <f t="shared" si="14"/>
        <v>1</v>
      </c>
      <c r="AD78" s="44" t="b">
        <f t="shared" si="4"/>
        <v>1</v>
      </c>
    </row>
    <row r="79" spans="1:30" s="4" customFormat="1" ht="37.5" customHeight="1" x14ac:dyDescent="0.25">
      <c r="A79" s="155">
        <v>77</v>
      </c>
      <c r="B79" s="179">
        <v>260</v>
      </c>
      <c r="C79" s="144" t="s">
        <v>300</v>
      </c>
      <c r="D79" s="179" t="s">
        <v>78</v>
      </c>
      <c r="E79" s="179">
        <v>2014011</v>
      </c>
      <c r="F79" s="179" t="s">
        <v>302</v>
      </c>
      <c r="G79" s="193" t="s">
        <v>392</v>
      </c>
      <c r="H79" s="179" t="s">
        <v>85</v>
      </c>
      <c r="I79" s="148">
        <v>1.847</v>
      </c>
      <c r="J79" s="179" t="s">
        <v>393</v>
      </c>
      <c r="K79" s="57">
        <v>15056000</v>
      </c>
      <c r="L79" s="151">
        <f t="shared" si="10"/>
        <v>7528000</v>
      </c>
      <c r="M79" s="57">
        <f t="shared" si="15"/>
        <v>7528000</v>
      </c>
      <c r="N79" s="152">
        <v>0.5</v>
      </c>
      <c r="O79" s="154">
        <v>0</v>
      </c>
      <c r="P79" s="154">
        <v>0</v>
      </c>
      <c r="Q79" s="154">
        <v>0</v>
      </c>
      <c r="R79" s="154">
        <v>0</v>
      </c>
      <c r="S79" s="154">
        <v>0</v>
      </c>
      <c r="T79" s="154">
        <v>0</v>
      </c>
      <c r="U79" s="154">
        <v>3764000</v>
      </c>
      <c r="V79" s="154">
        <v>3764000</v>
      </c>
      <c r="W79" s="154">
        <v>0</v>
      </c>
      <c r="X79" s="154">
        <v>0</v>
      </c>
      <c r="Y79" s="154">
        <v>0</v>
      </c>
      <c r="Z79" s="153">
        <v>0</v>
      </c>
      <c r="AA79" s="1" t="b">
        <f t="shared" si="1"/>
        <v>1</v>
      </c>
      <c r="AB79" s="43">
        <f t="shared" si="2"/>
        <v>0.5</v>
      </c>
      <c r="AC79" s="44" t="b">
        <f t="shared" si="14"/>
        <v>1</v>
      </c>
      <c r="AD79" s="44" t="b">
        <f t="shared" si="4"/>
        <v>1</v>
      </c>
    </row>
    <row r="80" spans="1:30" s="4" customFormat="1" ht="37.5" customHeight="1" x14ac:dyDescent="0.25">
      <c r="A80" s="195">
        <v>78</v>
      </c>
      <c r="B80" s="182">
        <v>50</v>
      </c>
      <c r="C80" s="142" t="s">
        <v>299</v>
      </c>
      <c r="D80" s="182" t="s">
        <v>394</v>
      </c>
      <c r="E80" s="182">
        <v>2014052</v>
      </c>
      <c r="F80" s="182" t="s">
        <v>302</v>
      </c>
      <c r="G80" s="192" t="s">
        <v>395</v>
      </c>
      <c r="H80" s="182" t="s">
        <v>85</v>
      </c>
      <c r="I80" s="187">
        <v>1.571</v>
      </c>
      <c r="J80" s="182" t="s">
        <v>228</v>
      </c>
      <c r="K80" s="191">
        <v>9982000</v>
      </c>
      <c r="L80" s="191">
        <f t="shared" si="10"/>
        <v>4991000</v>
      </c>
      <c r="M80" s="188">
        <f t="shared" si="15"/>
        <v>4991000</v>
      </c>
      <c r="N80" s="186">
        <v>0.5</v>
      </c>
      <c r="O80" s="230">
        <v>0</v>
      </c>
      <c r="P80" s="230">
        <v>0</v>
      </c>
      <c r="Q80" s="230">
        <v>0</v>
      </c>
      <c r="R80" s="230">
        <v>0</v>
      </c>
      <c r="S80" s="216">
        <v>0</v>
      </c>
      <c r="T80" s="216">
        <v>0</v>
      </c>
      <c r="U80" s="216">
        <f>L80</f>
        <v>4991000</v>
      </c>
      <c r="V80" s="216">
        <v>0</v>
      </c>
      <c r="W80" s="216">
        <v>0</v>
      </c>
      <c r="X80" s="216">
        <v>0</v>
      </c>
      <c r="Y80" s="216">
        <v>0</v>
      </c>
      <c r="Z80" s="230">
        <v>0</v>
      </c>
      <c r="AA80" s="1" t="b">
        <f t="shared" si="1"/>
        <v>1</v>
      </c>
      <c r="AB80" s="43">
        <f t="shared" si="2"/>
        <v>0.5</v>
      </c>
      <c r="AC80" s="44" t="b">
        <f t="shared" si="14"/>
        <v>1</v>
      </c>
      <c r="AD80" s="44" t="b">
        <f t="shared" si="4"/>
        <v>1</v>
      </c>
    </row>
    <row r="81" spans="1:30" s="4" customFormat="1" ht="37.5" customHeight="1" x14ac:dyDescent="0.25">
      <c r="A81" s="155">
        <v>79</v>
      </c>
      <c r="B81" s="179">
        <v>296</v>
      </c>
      <c r="C81" s="144" t="s">
        <v>300</v>
      </c>
      <c r="D81" s="179" t="s">
        <v>396</v>
      </c>
      <c r="E81" s="179">
        <v>2003083</v>
      </c>
      <c r="F81" s="179" t="s">
        <v>323</v>
      </c>
      <c r="G81" s="193" t="s">
        <v>397</v>
      </c>
      <c r="H81" s="179" t="s">
        <v>83</v>
      </c>
      <c r="I81" s="148">
        <v>1.5620000000000001</v>
      </c>
      <c r="J81" s="179" t="s">
        <v>398</v>
      </c>
      <c r="K81" s="57">
        <v>2725209.72</v>
      </c>
      <c r="L81" s="151">
        <f t="shared" si="10"/>
        <v>1362604.86</v>
      </c>
      <c r="M81" s="57">
        <f t="shared" si="15"/>
        <v>1362604.86</v>
      </c>
      <c r="N81" s="152">
        <v>0.5</v>
      </c>
      <c r="O81" s="154">
        <v>0</v>
      </c>
      <c r="P81" s="154">
        <v>0</v>
      </c>
      <c r="Q81" s="154">
        <v>0</v>
      </c>
      <c r="R81" s="154">
        <v>0</v>
      </c>
      <c r="S81" s="154">
        <v>0</v>
      </c>
      <c r="T81" s="154">
        <v>0</v>
      </c>
      <c r="U81" s="154">
        <v>179041.91</v>
      </c>
      <c r="V81" s="154">
        <v>619829.64</v>
      </c>
      <c r="W81" s="154">
        <v>563733.31000000006</v>
      </c>
      <c r="X81" s="154">
        <v>0</v>
      </c>
      <c r="Y81" s="154">
        <v>0</v>
      </c>
      <c r="Z81" s="153">
        <v>0</v>
      </c>
      <c r="AA81" s="1" t="b">
        <f t="shared" si="1"/>
        <v>1</v>
      </c>
      <c r="AB81" s="43">
        <f t="shared" si="2"/>
        <v>0.5</v>
      </c>
      <c r="AC81" s="44" t="b">
        <f t="shared" si="14"/>
        <v>1</v>
      </c>
      <c r="AD81" s="44" t="b">
        <f t="shared" si="4"/>
        <v>1</v>
      </c>
    </row>
    <row r="82" spans="1:30" s="4" customFormat="1" ht="37.5" customHeight="1" x14ac:dyDescent="0.25">
      <c r="A82" s="155">
        <v>80</v>
      </c>
      <c r="B82" s="179">
        <v>177</v>
      </c>
      <c r="C82" s="144" t="s">
        <v>300</v>
      </c>
      <c r="D82" s="179" t="s">
        <v>399</v>
      </c>
      <c r="E82" s="179">
        <v>2007022</v>
      </c>
      <c r="F82" s="179" t="s">
        <v>334</v>
      </c>
      <c r="G82" s="193" t="s">
        <v>400</v>
      </c>
      <c r="H82" s="179" t="s">
        <v>83</v>
      </c>
      <c r="I82" s="148">
        <v>1.0569999999999999</v>
      </c>
      <c r="J82" s="179" t="s">
        <v>401</v>
      </c>
      <c r="K82" s="57">
        <v>10603869.199999999</v>
      </c>
      <c r="L82" s="151">
        <f t="shared" si="10"/>
        <v>5301934.5999999996</v>
      </c>
      <c r="M82" s="57">
        <f t="shared" si="15"/>
        <v>5301934.5999999996</v>
      </c>
      <c r="N82" s="152">
        <v>0.5</v>
      </c>
      <c r="O82" s="154">
        <v>0</v>
      </c>
      <c r="P82" s="154">
        <v>0</v>
      </c>
      <c r="Q82" s="153">
        <v>0</v>
      </c>
      <c r="R82" s="153">
        <v>0</v>
      </c>
      <c r="S82" s="154">
        <v>0</v>
      </c>
      <c r="T82" s="154">
        <v>0</v>
      </c>
      <c r="U82" s="154">
        <v>5000</v>
      </c>
      <c r="V82" s="154">
        <v>5000</v>
      </c>
      <c r="W82" s="154">
        <v>5291934.5999999996</v>
      </c>
      <c r="X82" s="154">
        <v>0</v>
      </c>
      <c r="Y82" s="154">
        <v>0</v>
      </c>
      <c r="Z82" s="153">
        <v>0</v>
      </c>
      <c r="AA82" s="1" t="b">
        <f t="shared" si="1"/>
        <v>1</v>
      </c>
      <c r="AB82" s="43">
        <f t="shared" si="2"/>
        <v>0.5</v>
      </c>
      <c r="AC82" s="44" t="b">
        <f t="shared" si="14"/>
        <v>1</v>
      </c>
      <c r="AD82" s="44" t="b">
        <f t="shared" si="4"/>
        <v>1</v>
      </c>
    </row>
    <row r="83" spans="1:30" s="4" customFormat="1" ht="37.5" customHeight="1" x14ac:dyDescent="0.25">
      <c r="A83" s="195">
        <v>81</v>
      </c>
      <c r="B83" s="182">
        <v>358</v>
      </c>
      <c r="C83" s="142" t="s">
        <v>299</v>
      </c>
      <c r="D83" s="182" t="s">
        <v>372</v>
      </c>
      <c r="E83" s="182">
        <v>2011032</v>
      </c>
      <c r="F83" s="182" t="s">
        <v>308</v>
      </c>
      <c r="G83" s="192" t="s">
        <v>402</v>
      </c>
      <c r="H83" s="182" t="s">
        <v>83</v>
      </c>
      <c r="I83" s="187">
        <v>0.999</v>
      </c>
      <c r="J83" s="182" t="s">
        <v>403</v>
      </c>
      <c r="K83" s="188">
        <v>1582000</v>
      </c>
      <c r="L83" s="191">
        <f t="shared" si="10"/>
        <v>791000</v>
      </c>
      <c r="M83" s="188">
        <f t="shared" si="15"/>
        <v>791000</v>
      </c>
      <c r="N83" s="186">
        <v>0.5</v>
      </c>
      <c r="O83" s="216">
        <v>0</v>
      </c>
      <c r="P83" s="216">
        <v>0</v>
      </c>
      <c r="Q83" s="216">
        <v>0</v>
      </c>
      <c r="R83" s="216">
        <v>0</v>
      </c>
      <c r="S83" s="216">
        <v>0</v>
      </c>
      <c r="T83" s="216">
        <v>0</v>
      </c>
      <c r="U83" s="216">
        <f>L83</f>
        <v>791000</v>
      </c>
      <c r="V83" s="216">
        <v>0</v>
      </c>
      <c r="W83" s="216">
        <v>0</v>
      </c>
      <c r="X83" s="216">
        <v>0</v>
      </c>
      <c r="Y83" s="216">
        <v>0</v>
      </c>
      <c r="Z83" s="230">
        <v>0</v>
      </c>
      <c r="AA83" s="1" t="b">
        <f t="shared" si="1"/>
        <v>1</v>
      </c>
      <c r="AB83" s="43">
        <f t="shared" si="2"/>
        <v>0.5</v>
      </c>
      <c r="AC83" s="44" t="b">
        <f t="shared" si="14"/>
        <v>1</v>
      </c>
      <c r="AD83" s="44" t="b">
        <f t="shared" si="4"/>
        <v>1</v>
      </c>
    </row>
    <row r="84" spans="1:30" s="4" customFormat="1" ht="37.5" customHeight="1" x14ac:dyDescent="0.25">
      <c r="A84" s="195">
        <v>82</v>
      </c>
      <c r="B84" s="182">
        <v>334</v>
      </c>
      <c r="C84" s="142" t="s">
        <v>299</v>
      </c>
      <c r="D84" s="182" t="s">
        <v>506</v>
      </c>
      <c r="E84" s="182">
        <v>2002042</v>
      </c>
      <c r="F84" s="182" t="s">
        <v>306</v>
      </c>
      <c r="G84" s="192" t="s">
        <v>507</v>
      </c>
      <c r="H84" s="182" t="s">
        <v>83</v>
      </c>
      <c r="I84" s="187">
        <v>0.96</v>
      </c>
      <c r="J84" s="182" t="s">
        <v>304</v>
      </c>
      <c r="K84" s="260">
        <v>2055825.12</v>
      </c>
      <c r="L84" s="261">
        <f>ROUNDDOWN(K84*N84,2)</f>
        <v>1027912.56</v>
      </c>
      <c r="M84" s="260">
        <f>K84-L84</f>
        <v>1027912.56</v>
      </c>
      <c r="N84" s="186">
        <v>0.5</v>
      </c>
      <c r="O84" s="216">
        <v>0</v>
      </c>
      <c r="P84" s="216">
        <v>0</v>
      </c>
      <c r="Q84" s="216">
        <v>0</v>
      </c>
      <c r="R84" s="216">
        <v>0</v>
      </c>
      <c r="S84" s="292">
        <v>0</v>
      </c>
      <c r="T84" s="262">
        <v>0</v>
      </c>
      <c r="U84" s="263">
        <f>L84</f>
        <v>1027912.56</v>
      </c>
      <c r="V84" s="263">
        <v>0</v>
      </c>
      <c r="W84" s="263">
        <v>0</v>
      </c>
      <c r="X84" s="263">
        <v>0</v>
      </c>
      <c r="Y84" s="263">
        <v>0</v>
      </c>
      <c r="Z84" s="230"/>
      <c r="AA84" s="1" t="b">
        <f t="shared" si="1"/>
        <v>1</v>
      </c>
      <c r="AB84" s="43">
        <f t="shared" si="2"/>
        <v>0.5</v>
      </c>
      <c r="AC84" s="44" t="b">
        <f t="shared" si="14"/>
        <v>1</v>
      </c>
      <c r="AD84" s="44" t="b">
        <f t="shared" si="4"/>
        <v>1</v>
      </c>
    </row>
    <row r="85" spans="1:30" s="4" customFormat="1" ht="37.5" customHeight="1" x14ac:dyDescent="0.25">
      <c r="A85" s="155">
        <v>83</v>
      </c>
      <c r="B85" s="179">
        <v>57</v>
      </c>
      <c r="C85" s="144" t="s">
        <v>300</v>
      </c>
      <c r="D85" s="179" t="s">
        <v>404</v>
      </c>
      <c r="E85" s="179">
        <v>2063011</v>
      </c>
      <c r="F85" s="179" t="s">
        <v>352</v>
      </c>
      <c r="G85" s="193" t="s">
        <v>405</v>
      </c>
      <c r="H85" s="179" t="s">
        <v>83</v>
      </c>
      <c r="I85" s="148">
        <v>0.64</v>
      </c>
      <c r="J85" s="179" t="s">
        <v>325</v>
      </c>
      <c r="K85" s="57">
        <v>7396000</v>
      </c>
      <c r="L85" s="151">
        <f t="shared" si="10"/>
        <v>3698000</v>
      </c>
      <c r="M85" s="57">
        <f t="shared" si="15"/>
        <v>3698000</v>
      </c>
      <c r="N85" s="152">
        <v>0.5</v>
      </c>
      <c r="O85" s="153">
        <v>0</v>
      </c>
      <c r="P85" s="153">
        <v>0</v>
      </c>
      <c r="Q85" s="153">
        <v>0</v>
      </c>
      <c r="R85" s="153">
        <v>0</v>
      </c>
      <c r="S85" s="154">
        <v>0</v>
      </c>
      <c r="T85" s="154">
        <v>0</v>
      </c>
      <c r="U85" s="154">
        <v>153000</v>
      </c>
      <c r="V85" s="154">
        <v>3545000</v>
      </c>
      <c r="W85" s="154">
        <v>0</v>
      </c>
      <c r="X85" s="154">
        <v>0</v>
      </c>
      <c r="Y85" s="154">
        <v>0</v>
      </c>
      <c r="Z85" s="153">
        <v>0</v>
      </c>
      <c r="AA85" s="1" t="b">
        <f t="shared" si="1"/>
        <v>1</v>
      </c>
      <c r="AB85" s="43">
        <f t="shared" si="2"/>
        <v>0.5</v>
      </c>
      <c r="AC85" s="44" t="b">
        <f t="shared" si="14"/>
        <v>1</v>
      </c>
      <c r="AD85" s="44" t="b">
        <f t="shared" si="4"/>
        <v>1</v>
      </c>
    </row>
    <row r="86" spans="1:30" s="4" customFormat="1" ht="37.5" customHeight="1" x14ac:dyDescent="0.25">
      <c r="A86" s="195">
        <v>84</v>
      </c>
      <c r="B86" s="182">
        <v>133</v>
      </c>
      <c r="C86" s="142" t="s">
        <v>299</v>
      </c>
      <c r="D86" s="182" t="s">
        <v>406</v>
      </c>
      <c r="E86" s="182">
        <v>2012062</v>
      </c>
      <c r="F86" s="182" t="s">
        <v>352</v>
      </c>
      <c r="G86" s="192" t="s">
        <v>407</v>
      </c>
      <c r="H86" s="182" t="s">
        <v>83</v>
      </c>
      <c r="I86" s="187">
        <v>0.63500000000000001</v>
      </c>
      <c r="J86" s="182" t="s">
        <v>230</v>
      </c>
      <c r="K86" s="188">
        <v>1116577.97</v>
      </c>
      <c r="L86" s="191">
        <f t="shared" si="10"/>
        <v>558288.98</v>
      </c>
      <c r="M86" s="188">
        <f t="shared" si="15"/>
        <v>558288.99</v>
      </c>
      <c r="N86" s="186">
        <v>0.5</v>
      </c>
      <c r="O86" s="230">
        <v>0</v>
      </c>
      <c r="P86" s="230">
        <v>0</v>
      </c>
      <c r="Q86" s="230">
        <v>0</v>
      </c>
      <c r="R86" s="230">
        <v>0</v>
      </c>
      <c r="S86" s="216">
        <v>0</v>
      </c>
      <c r="T86" s="216">
        <v>0</v>
      </c>
      <c r="U86" s="216">
        <f t="shared" ref="U86:U94" si="16">L86</f>
        <v>558288.98</v>
      </c>
      <c r="V86" s="216">
        <v>0</v>
      </c>
      <c r="W86" s="216">
        <v>0</v>
      </c>
      <c r="X86" s="216">
        <v>0</v>
      </c>
      <c r="Y86" s="216">
        <v>0</v>
      </c>
      <c r="Z86" s="230">
        <v>0</v>
      </c>
      <c r="AA86" s="1" t="b">
        <f t="shared" si="1"/>
        <v>1</v>
      </c>
      <c r="AB86" s="43">
        <f t="shared" si="2"/>
        <v>0.5</v>
      </c>
      <c r="AC86" s="44" t="b">
        <f t="shared" si="14"/>
        <v>1</v>
      </c>
      <c r="AD86" s="44" t="b">
        <f t="shared" si="4"/>
        <v>1</v>
      </c>
    </row>
    <row r="87" spans="1:30" s="4" customFormat="1" ht="37.5" customHeight="1" x14ac:dyDescent="0.25">
      <c r="A87" s="195">
        <v>85</v>
      </c>
      <c r="B87" s="182">
        <v>136</v>
      </c>
      <c r="C87" s="142" t="s">
        <v>299</v>
      </c>
      <c r="D87" s="182" t="s">
        <v>177</v>
      </c>
      <c r="E87" s="182">
        <v>2001062</v>
      </c>
      <c r="F87" s="182" t="s">
        <v>319</v>
      </c>
      <c r="G87" s="192" t="s">
        <v>408</v>
      </c>
      <c r="H87" s="182" t="s">
        <v>83</v>
      </c>
      <c r="I87" s="185">
        <v>0.63</v>
      </c>
      <c r="J87" s="182" t="s">
        <v>213</v>
      </c>
      <c r="K87" s="191">
        <v>905000</v>
      </c>
      <c r="L87" s="191">
        <f t="shared" si="10"/>
        <v>452500</v>
      </c>
      <c r="M87" s="188">
        <f t="shared" si="15"/>
        <v>452500</v>
      </c>
      <c r="N87" s="186">
        <v>0.5</v>
      </c>
      <c r="O87" s="230">
        <v>0</v>
      </c>
      <c r="P87" s="230">
        <v>0</v>
      </c>
      <c r="Q87" s="230">
        <v>0</v>
      </c>
      <c r="R87" s="230">
        <v>0</v>
      </c>
      <c r="S87" s="216">
        <v>0</v>
      </c>
      <c r="T87" s="216">
        <v>0</v>
      </c>
      <c r="U87" s="216">
        <f t="shared" si="16"/>
        <v>452500</v>
      </c>
      <c r="V87" s="216">
        <v>0</v>
      </c>
      <c r="W87" s="216">
        <v>0</v>
      </c>
      <c r="X87" s="216">
        <v>0</v>
      </c>
      <c r="Y87" s="216">
        <v>0</v>
      </c>
      <c r="Z87" s="230">
        <v>0</v>
      </c>
      <c r="AA87" s="1" t="b">
        <f t="shared" si="1"/>
        <v>1</v>
      </c>
      <c r="AB87" s="43">
        <f t="shared" si="2"/>
        <v>0.5</v>
      </c>
      <c r="AC87" s="44" t="b">
        <f t="shared" si="14"/>
        <v>1</v>
      </c>
      <c r="AD87" s="44" t="b">
        <f t="shared" si="4"/>
        <v>1</v>
      </c>
    </row>
    <row r="88" spans="1:30" s="4" customFormat="1" ht="37.5" customHeight="1" x14ac:dyDescent="0.25">
      <c r="A88" s="195">
        <v>86</v>
      </c>
      <c r="B88" s="182">
        <v>48</v>
      </c>
      <c r="C88" s="142" t="s">
        <v>299</v>
      </c>
      <c r="D88" s="182" t="s">
        <v>355</v>
      </c>
      <c r="E88" s="182">
        <v>2009022</v>
      </c>
      <c r="F88" s="182" t="s">
        <v>345</v>
      </c>
      <c r="G88" s="192" t="s">
        <v>409</v>
      </c>
      <c r="H88" s="182" t="s">
        <v>83</v>
      </c>
      <c r="I88" s="187">
        <v>0.6</v>
      </c>
      <c r="J88" s="182" t="s">
        <v>357</v>
      </c>
      <c r="K88" s="188">
        <v>1602500</v>
      </c>
      <c r="L88" s="191">
        <f t="shared" si="10"/>
        <v>801250</v>
      </c>
      <c r="M88" s="188">
        <f t="shared" si="15"/>
        <v>801250</v>
      </c>
      <c r="N88" s="186">
        <v>0.5</v>
      </c>
      <c r="O88" s="216">
        <v>0</v>
      </c>
      <c r="P88" s="216">
        <v>0</v>
      </c>
      <c r="Q88" s="216">
        <v>0</v>
      </c>
      <c r="R88" s="216">
        <v>0</v>
      </c>
      <c r="S88" s="216">
        <v>0</v>
      </c>
      <c r="T88" s="216">
        <v>0</v>
      </c>
      <c r="U88" s="216">
        <f t="shared" si="16"/>
        <v>801250</v>
      </c>
      <c r="V88" s="216">
        <v>0</v>
      </c>
      <c r="W88" s="216">
        <v>0</v>
      </c>
      <c r="X88" s="216">
        <v>0</v>
      </c>
      <c r="Y88" s="216">
        <v>0</v>
      </c>
      <c r="Z88" s="230">
        <v>0</v>
      </c>
      <c r="AA88" s="1" t="b">
        <f t="shared" si="1"/>
        <v>1</v>
      </c>
      <c r="AB88" s="43">
        <f t="shared" si="2"/>
        <v>0.5</v>
      </c>
      <c r="AC88" s="44" t="b">
        <f t="shared" si="14"/>
        <v>1</v>
      </c>
      <c r="AD88" s="44" t="b">
        <f t="shared" si="4"/>
        <v>1</v>
      </c>
    </row>
    <row r="89" spans="1:30" s="4" customFormat="1" ht="37.5" customHeight="1" x14ac:dyDescent="0.25">
      <c r="A89" s="195">
        <v>87</v>
      </c>
      <c r="B89" s="182">
        <v>59</v>
      </c>
      <c r="C89" s="142" t="s">
        <v>299</v>
      </c>
      <c r="D89" s="182" t="s">
        <v>67</v>
      </c>
      <c r="E89" s="182">
        <v>2004011</v>
      </c>
      <c r="F89" s="182" t="s">
        <v>382</v>
      </c>
      <c r="G89" s="192" t="s">
        <v>410</v>
      </c>
      <c r="H89" s="182" t="s">
        <v>85</v>
      </c>
      <c r="I89" s="187">
        <v>0.59199999999999997</v>
      </c>
      <c r="J89" s="182" t="s">
        <v>221</v>
      </c>
      <c r="K89" s="188">
        <v>3673426.13</v>
      </c>
      <c r="L89" s="191">
        <f t="shared" si="10"/>
        <v>1836713.06</v>
      </c>
      <c r="M89" s="188">
        <f t="shared" si="15"/>
        <v>1836713.0699999998</v>
      </c>
      <c r="N89" s="186">
        <v>0.5</v>
      </c>
      <c r="O89" s="230">
        <v>0</v>
      </c>
      <c r="P89" s="230">
        <v>0</v>
      </c>
      <c r="Q89" s="230">
        <v>0</v>
      </c>
      <c r="R89" s="230">
        <v>0</v>
      </c>
      <c r="S89" s="216">
        <v>0</v>
      </c>
      <c r="T89" s="216">
        <v>0</v>
      </c>
      <c r="U89" s="216">
        <f t="shared" si="16"/>
        <v>1836713.06</v>
      </c>
      <c r="V89" s="216">
        <v>0</v>
      </c>
      <c r="W89" s="216">
        <v>0</v>
      </c>
      <c r="X89" s="216">
        <v>0</v>
      </c>
      <c r="Y89" s="216">
        <v>0</v>
      </c>
      <c r="Z89" s="230">
        <v>0</v>
      </c>
      <c r="AA89" s="1" t="b">
        <f t="shared" si="1"/>
        <v>1</v>
      </c>
      <c r="AB89" s="43">
        <f t="shared" si="2"/>
        <v>0.5</v>
      </c>
      <c r="AC89" s="44" t="b">
        <f t="shared" si="14"/>
        <v>1</v>
      </c>
      <c r="AD89" s="44" t="b">
        <f t="shared" si="4"/>
        <v>1</v>
      </c>
    </row>
    <row r="90" spans="1:30" s="4" customFormat="1" ht="37.5" customHeight="1" x14ac:dyDescent="0.25">
      <c r="A90" s="195">
        <v>88</v>
      </c>
      <c r="B90" s="182">
        <v>256</v>
      </c>
      <c r="C90" s="142" t="s">
        <v>299</v>
      </c>
      <c r="D90" s="182" t="s">
        <v>411</v>
      </c>
      <c r="E90" s="182">
        <v>2004043</v>
      </c>
      <c r="F90" s="182" t="s">
        <v>382</v>
      </c>
      <c r="G90" s="192" t="s">
        <v>412</v>
      </c>
      <c r="H90" s="182" t="s">
        <v>83</v>
      </c>
      <c r="I90" s="187">
        <v>0.51</v>
      </c>
      <c r="J90" s="182" t="s">
        <v>237</v>
      </c>
      <c r="K90" s="188">
        <v>3503000</v>
      </c>
      <c r="L90" s="191">
        <f t="shared" si="10"/>
        <v>1751500</v>
      </c>
      <c r="M90" s="188">
        <f t="shared" si="15"/>
        <v>1751500</v>
      </c>
      <c r="N90" s="186">
        <v>0.5</v>
      </c>
      <c r="O90" s="216">
        <v>0</v>
      </c>
      <c r="P90" s="216">
        <v>0</v>
      </c>
      <c r="Q90" s="216">
        <v>0</v>
      </c>
      <c r="R90" s="216">
        <v>0</v>
      </c>
      <c r="S90" s="216">
        <v>0</v>
      </c>
      <c r="T90" s="216">
        <v>0</v>
      </c>
      <c r="U90" s="216">
        <f t="shared" si="16"/>
        <v>1751500</v>
      </c>
      <c r="V90" s="216">
        <v>0</v>
      </c>
      <c r="W90" s="216">
        <v>0</v>
      </c>
      <c r="X90" s="216">
        <v>0</v>
      </c>
      <c r="Y90" s="216">
        <v>0</v>
      </c>
      <c r="Z90" s="230">
        <v>0</v>
      </c>
      <c r="AA90" s="1" t="b">
        <f t="shared" si="1"/>
        <v>1</v>
      </c>
      <c r="AB90" s="43">
        <f t="shared" si="2"/>
        <v>0.5</v>
      </c>
      <c r="AC90" s="44" t="b">
        <f t="shared" si="14"/>
        <v>1</v>
      </c>
      <c r="AD90" s="44" t="b">
        <f t="shared" si="4"/>
        <v>1</v>
      </c>
    </row>
    <row r="91" spans="1:30" s="4" customFormat="1" ht="37.5" customHeight="1" x14ac:dyDescent="0.25">
      <c r="A91" s="195">
        <v>89</v>
      </c>
      <c r="B91" s="182">
        <v>80</v>
      </c>
      <c r="C91" s="142" t="s">
        <v>299</v>
      </c>
      <c r="D91" s="182" t="s">
        <v>316</v>
      </c>
      <c r="E91" s="182">
        <v>2002063</v>
      </c>
      <c r="F91" s="182" t="s">
        <v>306</v>
      </c>
      <c r="G91" s="192" t="s">
        <v>413</v>
      </c>
      <c r="H91" s="182" t="s">
        <v>83</v>
      </c>
      <c r="I91" s="187">
        <v>0.38400000000000001</v>
      </c>
      <c r="J91" s="182" t="s">
        <v>276</v>
      </c>
      <c r="K91" s="188">
        <v>682600</v>
      </c>
      <c r="L91" s="191">
        <f t="shared" si="10"/>
        <v>341300</v>
      </c>
      <c r="M91" s="188">
        <f t="shared" si="15"/>
        <v>341300</v>
      </c>
      <c r="N91" s="186">
        <v>0.5</v>
      </c>
      <c r="O91" s="216">
        <v>0</v>
      </c>
      <c r="P91" s="216">
        <v>0</v>
      </c>
      <c r="Q91" s="216">
        <v>0</v>
      </c>
      <c r="R91" s="216">
        <v>0</v>
      </c>
      <c r="S91" s="216">
        <v>0</v>
      </c>
      <c r="T91" s="216">
        <v>0</v>
      </c>
      <c r="U91" s="216">
        <f t="shared" si="16"/>
        <v>341300</v>
      </c>
      <c r="V91" s="216">
        <v>0</v>
      </c>
      <c r="W91" s="216">
        <v>0</v>
      </c>
      <c r="X91" s="216">
        <v>0</v>
      </c>
      <c r="Y91" s="216">
        <v>0</v>
      </c>
      <c r="Z91" s="230">
        <v>0</v>
      </c>
      <c r="AA91" s="1" t="b">
        <f t="shared" si="1"/>
        <v>1</v>
      </c>
      <c r="AB91" s="43">
        <f t="shared" si="2"/>
        <v>0.5</v>
      </c>
      <c r="AC91" s="44" t="b">
        <f t="shared" si="14"/>
        <v>1</v>
      </c>
      <c r="AD91" s="44" t="b">
        <f t="shared" si="4"/>
        <v>1</v>
      </c>
    </row>
    <row r="92" spans="1:30" s="4" customFormat="1" ht="37.5" customHeight="1" x14ac:dyDescent="0.25">
      <c r="A92" s="195">
        <v>90</v>
      </c>
      <c r="B92" s="182">
        <v>253</v>
      </c>
      <c r="C92" s="142" t="s">
        <v>299</v>
      </c>
      <c r="D92" s="182" t="s">
        <v>191</v>
      </c>
      <c r="E92" s="182">
        <v>2012075</v>
      </c>
      <c r="F92" s="182" t="s">
        <v>352</v>
      </c>
      <c r="G92" s="192" t="s">
        <v>414</v>
      </c>
      <c r="H92" s="182" t="s">
        <v>83</v>
      </c>
      <c r="I92" s="187">
        <v>0.35299999999999998</v>
      </c>
      <c r="J92" s="182" t="s">
        <v>237</v>
      </c>
      <c r="K92" s="188">
        <v>1001600</v>
      </c>
      <c r="L92" s="191">
        <f t="shared" si="10"/>
        <v>500800</v>
      </c>
      <c r="M92" s="188">
        <f t="shared" si="15"/>
        <v>500800</v>
      </c>
      <c r="N92" s="186">
        <v>0.5</v>
      </c>
      <c r="O92" s="216">
        <v>0</v>
      </c>
      <c r="P92" s="216">
        <v>0</v>
      </c>
      <c r="Q92" s="216">
        <v>0</v>
      </c>
      <c r="R92" s="216">
        <v>0</v>
      </c>
      <c r="S92" s="216">
        <v>0</v>
      </c>
      <c r="T92" s="216">
        <v>0</v>
      </c>
      <c r="U92" s="216">
        <f t="shared" si="16"/>
        <v>500800</v>
      </c>
      <c r="V92" s="216">
        <v>0</v>
      </c>
      <c r="W92" s="216">
        <v>0</v>
      </c>
      <c r="X92" s="216">
        <v>0</v>
      </c>
      <c r="Y92" s="216">
        <v>0</v>
      </c>
      <c r="Z92" s="230">
        <v>0</v>
      </c>
      <c r="AA92" s="1" t="b">
        <f t="shared" si="1"/>
        <v>1</v>
      </c>
      <c r="AB92" s="43">
        <f t="shared" si="2"/>
        <v>0.5</v>
      </c>
      <c r="AC92" s="44" t="b">
        <f t="shared" si="14"/>
        <v>1</v>
      </c>
      <c r="AD92" s="44" t="b">
        <f t="shared" si="4"/>
        <v>1</v>
      </c>
    </row>
    <row r="93" spans="1:30" s="4" customFormat="1" ht="45" customHeight="1" x14ac:dyDescent="0.25">
      <c r="A93" s="195">
        <v>91</v>
      </c>
      <c r="B93" s="182">
        <v>221</v>
      </c>
      <c r="C93" s="142" t="s">
        <v>299</v>
      </c>
      <c r="D93" s="182" t="s">
        <v>415</v>
      </c>
      <c r="E93" s="182">
        <v>2006062</v>
      </c>
      <c r="F93" s="182" t="s">
        <v>416</v>
      </c>
      <c r="G93" s="192" t="s">
        <v>417</v>
      </c>
      <c r="H93" s="182" t="s">
        <v>83</v>
      </c>
      <c r="I93" s="187">
        <v>0.28000000000000003</v>
      </c>
      <c r="J93" s="182" t="s">
        <v>221</v>
      </c>
      <c r="K93" s="188">
        <v>313000</v>
      </c>
      <c r="L93" s="191">
        <f t="shared" si="10"/>
        <v>156500</v>
      </c>
      <c r="M93" s="188">
        <f t="shared" si="15"/>
        <v>156500</v>
      </c>
      <c r="N93" s="186">
        <v>0.5</v>
      </c>
      <c r="O93" s="216">
        <v>0</v>
      </c>
      <c r="P93" s="216">
        <v>0</v>
      </c>
      <c r="Q93" s="216">
        <v>0</v>
      </c>
      <c r="R93" s="216">
        <v>0</v>
      </c>
      <c r="S93" s="216">
        <v>0</v>
      </c>
      <c r="T93" s="216">
        <v>0</v>
      </c>
      <c r="U93" s="216">
        <f t="shared" si="16"/>
        <v>156500</v>
      </c>
      <c r="V93" s="216">
        <v>0</v>
      </c>
      <c r="W93" s="216">
        <v>0</v>
      </c>
      <c r="X93" s="216">
        <v>0</v>
      </c>
      <c r="Y93" s="216">
        <v>0</v>
      </c>
      <c r="Z93" s="230">
        <v>0</v>
      </c>
      <c r="AA93" s="1" t="b">
        <f t="shared" si="1"/>
        <v>1</v>
      </c>
      <c r="AB93" s="43">
        <f t="shared" si="2"/>
        <v>0.5</v>
      </c>
      <c r="AC93" s="44" t="b">
        <f t="shared" si="14"/>
        <v>1</v>
      </c>
      <c r="AD93" s="44" t="b">
        <f t="shared" si="4"/>
        <v>1</v>
      </c>
    </row>
    <row r="94" spans="1:30" s="4" customFormat="1" ht="37.5" customHeight="1" x14ac:dyDescent="0.25">
      <c r="A94" s="195">
        <v>92</v>
      </c>
      <c r="B94" s="182">
        <v>282</v>
      </c>
      <c r="C94" s="142" t="s">
        <v>299</v>
      </c>
      <c r="D94" s="182" t="s">
        <v>418</v>
      </c>
      <c r="E94" s="182">
        <v>2010092</v>
      </c>
      <c r="F94" s="182" t="s">
        <v>367</v>
      </c>
      <c r="G94" s="192" t="s">
        <v>419</v>
      </c>
      <c r="H94" s="182" t="s">
        <v>83</v>
      </c>
      <c r="I94" s="187">
        <v>0.27500000000000002</v>
      </c>
      <c r="J94" s="182" t="s">
        <v>420</v>
      </c>
      <c r="K94" s="188">
        <v>954095.5</v>
      </c>
      <c r="L94" s="191">
        <f t="shared" si="10"/>
        <v>477047.75</v>
      </c>
      <c r="M94" s="188">
        <f t="shared" si="15"/>
        <v>477047.75</v>
      </c>
      <c r="N94" s="186">
        <v>0.5</v>
      </c>
      <c r="O94" s="216">
        <v>0</v>
      </c>
      <c r="P94" s="216">
        <v>0</v>
      </c>
      <c r="Q94" s="216">
        <v>0</v>
      </c>
      <c r="R94" s="216">
        <v>0</v>
      </c>
      <c r="S94" s="216">
        <v>0</v>
      </c>
      <c r="T94" s="216">
        <v>0</v>
      </c>
      <c r="U94" s="216">
        <f t="shared" si="16"/>
        <v>477047.75</v>
      </c>
      <c r="V94" s="216">
        <v>0</v>
      </c>
      <c r="W94" s="216">
        <v>0</v>
      </c>
      <c r="X94" s="216">
        <v>0</v>
      </c>
      <c r="Y94" s="216">
        <v>0</v>
      </c>
      <c r="Z94" s="230">
        <v>0</v>
      </c>
      <c r="AA94" s="1" t="b">
        <f t="shared" si="1"/>
        <v>1</v>
      </c>
      <c r="AB94" s="43">
        <f t="shared" si="2"/>
        <v>0.5</v>
      </c>
      <c r="AC94" s="44" t="b">
        <f t="shared" si="14"/>
        <v>1</v>
      </c>
      <c r="AD94" s="44" t="b">
        <f t="shared" si="4"/>
        <v>1</v>
      </c>
    </row>
    <row r="95" spans="1:30" s="4" customFormat="1" ht="37.5" customHeight="1" x14ac:dyDescent="0.25">
      <c r="A95" s="155">
        <v>93</v>
      </c>
      <c r="B95" s="179">
        <v>147</v>
      </c>
      <c r="C95" s="144" t="s">
        <v>300</v>
      </c>
      <c r="D95" s="179" t="s">
        <v>421</v>
      </c>
      <c r="E95" s="179">
        <v>2002103</v>
      </c>
      <c r="F95" s="179" t="s">
        <v>306</v>
      </c>
      <c r="G95" s="193" t="s">
        <v>422</v>
      </c>
      <c r="H95" s="179" t="s">
        <v>85</v>
      </c>
      <c r="I95" s="148">
        <v>0.26500000000000001</v>
      </c>
      <c r="J95" s="179" t="s">
        <v>423</v>
      </c>
      <c r="K95" s="57">
        <v>905000</v>
      </c>
      <c r="L95" s="151">
        <f t="shared" si="10"/>
        <v>452500</v>
      </c>
      <c r="M95" s="57">
        <f t="shared" si="15"/>
        <v>452500</v>
      </c>
      <c r="N95" s="152">
        <v>0.5</v>
      </c>
      <c r="O95" s="153">
        <v>0</v>
      </c>
      <c r="P95" s="153">
        <v>0</v>
      </c>
      <c r="Q95" s="153">
        <v>0</v>
      </c>
      <c r="R95" s="153">
        <v>0</v>
      </c>
      <c r="S95" s="154">
        <v>0</v>
      </c>
      <c r="T95" s="154">
        <v>0</v>
      </c>
      <c r="U95" s="154">
        <v>226250</v>
      </c>
      <c r="V95" s="154">
        <v>226250</v>
      </c>
      <c r="W95" s="154">
        <v>0</v>
      </c>
      <c r="X95" s="154">
        <v>0</v>
      </c>
      <c r="Y95" s="154">
        <v>0</v>
      </c>
      <c r="Z95" s="153">
        <v>0</v>
      </c>
      <c r="AA95" s="1" t="b">
        <f t="shared" si="1"/>
        <v>1</v>
      </c>
      <c r="AB95" s="43">
        <f t="shared" si="2"/>
        <v>0.5</v>
      </c>
      <c r="AC95" s="44" t="b">
        <f t="shared" si="14"/>
        <v>1</v>
      </c>
      <c r="AD95" s="44" t="b">
        <f t="shared" si="4"/>
        <v>1</v>
      </c>
    </row>
    <row r="96" spans="1:30" s="4" customFormat="1" ht="37.5" customHeight="1" x14ac:dyDescent="0.25">
      <c r="A96" s="155">
        <v>94</v>
      </c>
      <c r="B96" s="179">
        <v>157</v>
      </c>
      <c r="C96" s="144" t="s">
        <v>300</v>
      </c>
      <c r="D96" s="179" t="s">
        <v>205</v>
      </c>
      <c r="E96" s="179">
        <v>2011084</v>
      </c>
      <c r="F96" s="179" t="s">
        <v>308</v>
      </c>
      <c r="G96" s="193" t="s">
        <v>424</v>
      </c>
      <c r="H96" s="179" t="s">
        <v>85</v>
      </c>
      <c r="I96" s="156">
        <v>0.24</v>
      </c>
      <c r="J96" s="179" t="s">
        <v>509</v>
      </c>
      <c r="K96" s="239">
        <v>2403000</v>
      </c>
      <c r="L96" s="151">
        <f t="shared" si="10"/>
        <v>1201500</v>
      </c>
      <c r="M96" s="57">
        <f t="shared" si="15"/>
        <v>1201500</v>
      </c>
      <c r="N96" s="152">
        <v>0.5</v>
      </c>
      <c r="O96" s="153">
        <v>0</v>
      </c>
      <c r="P96" s="153">
        <v>0</v>
      </c>
      <c r="Q96" s="153">
        <v>0</v>
      </c>
      <c r="R96" s="153">
        <v>0</v>
      </c>
      <c r="S96" s="154">
        <v>0</v>
      </c>
      <c r="T96" s="154">
        <v>0</v>
      </c>
      <c r="U96" s="243">
        <v>600750</v>
      </c>
      <c r="V96" s="154">
        <v>600750</v>
      </c>
      <c r="W96" s="154">
        <v>0</v>
      </c>
      <c r="X96" s="154">
        <v>0</v>
      </c>
      <c r="Y96" s="154">
        <v>0</v>
      </c>
      <c r="Z96" s="153">
        <v>0</v>
      </c>
      <c r="AA96" s="1" t="b">
        <f t="shared" si="1"/>
        <v>1</v>
      </c>
      <c r="AB96" s="43">
        <f t="shared" si="2"/>
        <v>0.5</v>
      </c>
      <c r="AC96" s="44" t="b">
        <f t="shared" si="14"/>
        <v>1</v>
      </c>
      <c r="AD96" s="44" t="b">
        <f t="shared" si="4"/>
        <v>1</v>
      </c>
    </row>
    <row r="97" spans="1:30" s="4" customFormat="1" ht="37.5" customHeight="1" x14ac:dyDescent="0.25">
      <c r="A97" s="195">
        <v>95</v>
      </c>
      <c r="B97" s="182">
        <v>276</v>
      </c>
      <c r="C97" s="142" t="s">
        <v>299</v>
      </c>
      <c r="D97" s="182" t="s">
        <v>425</v>
      </c>
      <c r="E97" s="182">
        <v>2002023</v>
      </c>
      <c r="F97" s="182" t="s">
        <v>306</v>
      </c>
      <c r="G97" s="192" t="s">
        <v>426</v>
      </c>
      <c r="H97" s="182" t="s">
        <v>85</v>
      </c>
      <c r="I97" s="187">
        <v>0.20100000000000001</v>
      </c>
      <c r="J97" s="182" t="s">
        <v>221</v>
      </c>
      <c r="K97" s="188">
        <v>922000</v>
      </c>
      <c r="L97" s="191">
        <f t="shared" si="10"/>
        <v>461000</v>
      </c>
      <c r="M97" s="188">
        <f t="shared" si="15"/>
        <v>461000</v>
      </c>
      <c r="N97" s="186">
        <v>0.5</v>
      </c>
      <c r="O97" s="216">
        <v>0</v>
      </c>
      <c r="P97" s="216">
        <v>0</v>
      </c>
      <c r="Q97" s="216">
        <v>0</v>
      </c>
      <c r="R97" s="216">
        <v>0</v>
      </c>
      <c r="S97" s="216">
        <v>0</v>
      </c>
      <c r="T97" s="216">
        <v>0</v>
      </c>
      <c r="U97" s="216">
        <f>L97</f>
        <v>461000</v>
      </c>
      <c r="V97" s="216">
        <v>0</v>
      </c>
      <c r="W97" s="216">
        <v>0</v>
      </c>
      <c r="X97" s="216">
        <v>0</v>
      </c>
      <c r="Y97" s="216">
        <v>0</v>
      </c>
      <c r="Z97" s="230">
        <v>0</v>
      </c>
      <c r="AA97" s="1" t="b">
        <f t="shared" si="1"/>
        <v>1</v>
      </c>
      <c r="AB97" s="43">
        <f t="shared" si="2"/>
        <v>0.5</v>
      </c>
      <c r="AC97" s="44" t="b">
        <f t="shared" si="14"/>
        <v>1</v>
      </c>
      <c r="AD97" s="44" t="b">
        <f t="shared" si="4"/>
        <v>1</v>
      </c>
    </row>
    <row r="98" spans="1:30" s="4" customFormat="1" ht="37.5" customHeight="1" x14ac:dyDescent="0.25">
      <c r="A98" s="195">
        <v>96</v>
      </c>
      <c r="B98" s="182">
        <v>129</v>
      </c>
      <c r="C98" s="182" t="s">
        <v>299</v>
      </c>
      <c r="D98" s="182" t="s">
        <v>427</v>
      </c>
      <c r="E98" s="182">
        <v>2005073</v>
      </c>
      <c r="F98" s="182" t="s">
        <v>340</v>
      </c>
      <c r="G98" s="192" t="s">
        <v>428</v>
      </c>
      <c r="H98" s="182" t="s">
        <v>83</v>
      </c>
      <c r="I98" s="187">
        <v>0.2</v>
      </c>
      <c r="J98" s="182" t="s">
        <v>328</v>
      </c>
      <c r="K98" s="188">
        <v>1001500</v>
      </c>
      <c r="L98" s="191">
        <f t="shared" si="10"/>
        <v>500750</v>
      </c>
      <c r="M98" s="188">
        <f t="shared" si="15"/>
        <v>500750</v>
      </c>
      <c r="N98" s="186">
        <v>0.5</v>
      </c>
      <c r="O98" s="216">
        <v>0</v>
      </c>
      <c r="P98" s="216">
        <v>0</v>
      </c>
      <c r="Q98" s="216">
        <v>0</v>
      </c>
      <c r="R98" s="216">
        <v>0</v>
      </c>
      <c r="S98" s="216">
        <v>0</v>
      </c>
      <c r="T98" s="216">
        <v>0</v>
      </c>
      <c r="U98" s="216">
        <f>L98</f>
        <v>500750</v>
      </c>
      <c r="V98" s="216">
        <v>0</v>
      </c>
      <c r="W98" s="216">
        <v>0</v>
      </c>
      <c r="X98" s="216">
        <v>0</v>
      </c>
      <c r="Y98" s="216">
        <v>0</v>
      </c>
      <c r="Z98" s="230">
        <v>0</v>
      </c>
      <c r="AA98" s="1" t="b">
        <f t="shared" si="1"/>
        <v>1</v>
      </c>
      <c r="AB98" s="43">
        <f t="shared" si="2"/>
        <v>0.5</v>
      </c>
      <c r="AC98" s="44" t="b">
        <f t="shared" si="14"/>
        <v>1</v>
      </c>
      <c r="AD98" s="44" t="b">
        <f t="shared" si="4"/>
        <v>1</v>
      </c>
    </row>
    <row r="99" spans="1:30" s="4" customFormat="1" ht="37.5" customHeight="1" x14ac:dyDescent="0.25">
      <c r="A99" s="195">
        <v>97</v>
      </c>
      <c r="B99" s="182">
        <v>62</v>
      </c>
      <c r="C99" s="142" t="s">
        <v>299</v>
      </c>
      <c r="D99" s="182" t="s">
        <v>429</v>
      </c>
      <c r="E99" s="182">
        <v>2012082</v>
      </c>
      <c r="F99" s="182" t="s">
        <v>352</v>
      </c>
      <c r="G99" s="192" t="s">
        <v>430</v>
      </c>
      <c r="H99" s="182" t="s">
        <v>83</v>
      </c>
      <c r="I99" s="187">
        <v>3.5</v>
      </c>
      <c r="J99" s="182" t="s">
        <v>230</v>
      </c>
      <c r="K99" s="188">
        <v>4600000</v>
      </c>
      <c r="L99" s="191">
        <f>ROUNDDOWN(K99*N99,2)</f>
        <v>2300000</v>
      </c>
      <c r="M99" s="188">
        <f>K99-L99</f>
        <v>2300000</v>
      </c>
      <c r="N99" s="186">
        <v>0.5</v>
      </c>
      <c r="O99" s="216">
        <v>0</v>
      </c>
      <c r="P99" s="216">
        <v>0</v>
      </c>
      <c r="Q99" s="216">
        <v>0</v>
      </c>
      <c r="R99" s="216">
        <v>0</v>
      </c>
      <c r="S99" s="216">
        <v>0</v>
      </c>
      <c r="T99" s="216">
        <v>0</v>
      </c>
      <c r="U99" s="216">
        <f>L99</f>
        <v>2300000</v>
      </c>
      <c r="V99" s="216">
        <v>0</v>
      </c>
      <c r="W99" s="216">
        <v>0</v>
      </c>
      <c r="X99" s="216">
        <v>0</v>
      </c>
      <c r="Y99" s="216">
        <v>0</v>
      </c>
      <c r="Z99" s="230">
        <v>0</v>
      </c>
      <c r="AA99" s="1" t="b">
        <f t="shared" si="1"/>
        <v>1</v>
      </c>
      <c r="AB99" s="43">
        <f t="shared" si="2"/>
        <v>0.5</v>
      </c>
      <c r="AC99" s="44" t="b">
        <f t="shared" si="14"/>
        <v>1</v>
      </c>
      <c r="AD99" s="44" t="b">
        <f t="shared" si="4"/>
        <v>1</v>
      </c>
    </row>
    <row r="100" spans="1:30" s="2" customFormat="1" ht="37.5" customHeight="1" x14ac:dyDescent="0.25">
      <c r="A100" s="291" t="s">
        <v>563</v>
      </c>
      <c r="B100" s="179">
        <v>68</v>
      </c>
      <c r="C100" s="144" t="s">
        <v>300</v>
      </c>
      <c r="D100" s="179" t="s">
        <v>270</v>
      </c>
      <c r="E100" s="179">
        <v>2062011</v>
      </c>
      <c r="F100" s="179" t="s">
        <v>334</v>
      </c>
      <c r="G100" s="193" t="s">
        <v>431</v>
      </c>
      <c r="H100" s="179" t="s">
        <v>83</v>
      </c>
      <c r="I100" s="148">
        <v>1.4610000000000001</v>
      </c>
      <c r="J100" s="179" t="s">
        <v>272</v>
      </c>
      <c r="K100" s="57">
        <v>22958601</v>
      </c>
      <c r="L100" s="151">
        <f>ROUNDDOWN(K100*N100,2)-6732646.09</f>
        <v>4746654.41</v>
      </c>
      <c r="M100" s="57">
        <f>K100-L100</f>
        <v>18211946.59</v>
      </c>
      <c r="N100" s="152">
        <v>0.5</v>
      </c>
      <c r="O100" s="154">
        <v>0</v>
      </c>
      <c r="P100" s="154">
        <v>0</v>
      </c>
      <c r="Q100" s="154">
        <v>0</v>
      </c>
      <c r="R100" s="154">
        <v>0</v>
      </c>
      <c r="S100" s="154">
        <v>0</v>
      </c>
      <c r="T100" s="154">
        <v>0</v>
      </c>
      <c r="U100" s="154">
        <f>ROUNDDOWN(7229300.5-6732646.09,2)</f>
        <v>496654.41</v>
      </c>
      <c r="V100" s="154">
        <v>250000</v>
      </c>
      <c r="W100" s="154">
        <v>4000000</v>
      </c>
      <c r="X100" s="154">
        <v>0</v>
      </c>
      <c r="Y100" s="154">
        <v>0</v>
      </c>
      <c r="Z100" s="153">
        <v>0</v>
      </c>
      <c r="AA100" s="1" t="b">
        <f t="shared" si="1"/>
        <v>1</v>
      </c>
      <c r="AB100" s="43">
        <f t="shared" si="2"/>
        <v>0.20669999999999999</v>
      </c>
      <c r="AC100" s="44" t="b">
        <f t="shared" si="14"/>
        <v>0</v>
      </c>
      <c r="AD100" s="178" t="b">
        <f t="shared" ref="AD100" si="17">K100=L100+M100</f>
        <v>1</v>
      </c>
    </row>
    <row r="101" spans="1:30" ht="20.100000000000001" customHeight="1" x14ac:dyDescent="0.25">
      <c r="A101" s="366" t="s">
        <v>44</v>
      </c>
      <c r="B101" s="367"/>
      <c r="C101" s="367"/>
      <c r="D101" s="367"/>
      <c r="E101" s="367"/>
      <c r="F101" s="367"/>
      <c r="G101" s="367"/>
      <c r="H101" s="368"/>
      <c r="I101" s="220">
        <f>SUM(I3:I100)</f>
        <v>112.51699999999997</v>
      </c>
      <c r="J101" s="221" t="s">
        <v>14</v>
      </c>
      <c r="K101" s="222">
        <f>SUM(K3:K100)</f>
        <v>383126419.80999994</v>
      </c>
      <c r="L101" s="223">
        <f>SUM(L3:L100)</f>
        <v>175450335.14999998</v>
      </c>
      <c r="M101" s="223">
        <f>SUM(M3:M100)</f>
        <v>207676084.65999997</v>
      </c>
      <c r="N101" s="224" t="s">
        <v>14</v>
      </c>
      <c r="O101" s="223">
        <f t="shared" ref="O101:Z101" si="18">SUM(O3:O100)</f>
        <v>0</v>
      </c>
      <c r="P101" s="223">
        <f t="shared" si="18"/>
        <v>0</v>
      </c>
      <c r="Q101" s="225">
        <f t="shared" si="18"/>
        <v>0</v>
      </c>
      <c r="R101" s="225">
        <f t="shared" si="18"/>
        <v>0</v>
      </c>
      <c r="S101" s="225">
        <f t="shared" si="18"/>
        <v>221473.43999999997</v>
      </c>
      <c r="T101" s="225">
        <f t="shared" si="18"/>
        <v>38933341.690000005</v>
      </c>
      <c r="U101" s="225">
        <f t="shared" si="18"/>
        <v>88283586.070000008</v>
      </c>
      <c r="V101" s="225">
        <f t="shared" si="18"/>
        <v>32723271.739999995</v>
      </c>
      <c r="W101" s="225">
        <f t="shared" si="18"/>
        <v>15288662.209999999</v>
      </c>
      <c r="X101" s="225">
        <f t="shared" si="18"/>
        <v>0</v>
      </c>
      <c r="Y101" s="225">
        <f t="shared" si="18"/>
        <v>0</v>
      </c>
      <c r="Z101" s="225">
        <f t="shared" si="18"/>
        <v>0</v>
      </c>
      <c r="AA101" s="1" t="b">
        <f t="shared" si="1"/>
        <v>1</v>
      </c>
      <c r="AB101" s="43">
        <f t="shared" si="2"/>
        <v>0.45789999999999997</v>
      </c>
      <c r="AC101" s="44" t="s">
        <v>14</v>
      </c>
      <c r="AD101" s="44" t="b">
        <f t="shared" si="4"/>
        <v>1</v>
      </c>
    </row>
    <row r="102" spans="1:30" ht="20.100000000000001" customHeight="1" x14ac:dyDescent="0.25">
      <c r="A102" s="363" t="s">
        <v>37</v>
      </c>
      <c r="B102" s="364"/>
      <c r="C102" s="364"/>
      <c r="D102" s="364"/>
      <c r="E102" s="364"/>
      <c r="F102" s="364"/>
      <c r="G102" s="364"/>
      <c r="H102" s="365"/>
      <c r="I102" s="49">
        <f>SUMIF($C$3:$C$100,"K",I3:I100)</f>
        <v>58.941999999999993</v>
      </c>
      <c r="J102" s="50" t="s">
        <v>14</v>
      </c>
      <c r="K102" s="51">
        <f>SUMIF($C$3:$C$100,"K",K3:K100)</f>
        <v>188152230.78999999</v>
      </c>
      <c r="L102" s="52">
        <f>SUMIF($C$3:$C$100,"K",L3:L100)</f>
        <v>83536955.519999981</v>
      </c>
      <c r="M102" s="52">
        <f>SUMIF($C$3:$C$100,"K",M3:M100)</f>
        <v>104615275.27</v>
      </c>
      <c r="N102" s="53" t="s">
        <v>14</v>
      </c>
      <c r="O102" s="52">
        <f t="shared" ref="O102:Z102" si="19">SUMIF($C$3:$C$100,"K",O3:O100)</f>
        <v>0</v>
      </c>
      <c r="P102" s="52">
        <f t="shared" si="19"/>
        <v>0</v>
      </c>
      <c r="Q102" s="54">
        <f t="shared" si="19"/>
        <v>0</v>
      </c>
      <c r="R102" s="54">
        <f t="shared" si="19"/>
        <v>0</v>
      </c>
      <c r="S102" s="54">
        <f t="shared" si="19"/>
        <v>221473.43999999997</v>
      </c>
      <c r="T102" s="54">
        <f t="shared" si="19"/>
        <v>38933341.690000005</v>
      </c>
      <c r="U102" s="54">
        <f t="shared" si="19"/>
        <v>27375568.979999997</v>
      </c>
      <c r="V102" s="54">
        <f t="shared" si="19"/>
        <v>17006571.409999996</v>
      </c>
      <c r="W102" s="54">
        <f t="shared" si="19"/>
        <v>0</v>
      </c>
      <c r="X102" s="54">
        <f t="shared" si="19"/>
        <v>0</v>
      </c>
      <c r="Y102" s="54">
        <f t="shared" si="19"/>
        <v>0</v>
      </c>
      <c r="Z102" s="54">
        <f t="shared" si="19"/>
        <v>0</v>
      </c>
      <c r="AA102" s="1" t="b">
        <f t="shared" si="1"/>
        <v>1</v>
      </c>
      <c r="AB102" s="43">
        <f t="shared" si="2"/>
        <v>0.44400000000000001</v>
      </c>
      <c r="AC102" s="44" t="s">
        <v>14</v>
      </c>
      <c r="AD102" s="44" t="b">
        <f t="shared" si="4"/>
        <v>1</v>
      </c>
    </row>
    <row r="103" spans="1:30" ht="20.100000000000001" customHeight="1" x14ac:dyDescent="0.25">
      <c r="A103" s="363" t="s">
        <v>38</v>
      </c>
      <c r="B103" s="364"/>
      <c r="C103" s="364"/>
      <c r="D103" s="364"/>
      <c r="E103" s="364"/>
      <c r="F103" s="364"/>
      <c r="G103" s="364"/>
      <c r="H103" s="365"/>
      <c r="I103" s="49">
        <f>SUMIF($C$3:$C$100,"N",I3:I100)</f>
        <v>41.668000000000006</v>
      </c>
      <c r="J103" s="50" t="s">
        <v>14</v>
      </c>
      <c r="K103" s="51">
        <f>SUMIF($C$3:$C$100,"N",K3:K100)</f>
        <v>101252756.94999999</v>
      </c>
      <c r="L103" s="52">
        <f>SUMIF($C$3:$C$100,"N",L3:L100)</f>
        <v>51785309.690000005</v>
      </c>
      <c r="M103" s="52">
        <f>SUMIF($C$3:$C$100,"N",M3:M100)</f>
        <v>49467447.260000005</v>
      </c>
      <c r="N103" s="53" t="s">
        <v>14</v>
      </c>
      <c r="O103" s="52">
        <f t="shared" ref="O103:Z103" si="20">SUMIF($C$3:$C$100,"N",O3:O100)</f>
        <v>0</v>
      </c>
      <c r="P103" s="52">
        <f t="shared" si="20"/>
        <v>0</v>
      </c>
      <c r="Q103" s="54">
        <f t="shared" si="20"/>
        <v>0</v>
      </c>
      <c r="R103" s="54">
        <f t="shared" si="20"/>
        <v>0</v>
      </c>
      <c r="S103" s="54">
        <f t="shared" si="20"/>
        <v>0</v>
      </c>
      <c r="T103" s="54">
        <f t="shared" si="20"/>
        <v>0</v>
      </c>
      <c r="U103" s="54">
        <f t="shared" si="20"/>
        <v>51785309.690000005</v>
      </c>
      <c r="V103" s="54">
        <f t="shared" si="20"/>
        <v>0</v>
      </c>
      <c r="W103" s="54">
        <f t="shared" si="20"/>
        <v>0</v>
      </c>
      <c r="X103" s="54">
        <f t="shared" si="20"/>
        <v>0</v>
      </c>
      <c r="Y103" s="54">
        <f t="shared" si="20"/>
        <v>0</v>
      </c>
      <c r="Z103" s="54">
        <f t="shared" si="20"/>
        <v>0</v>
      </c>
      <c r="AA103" s="1" t="b">
        <f t="shared" si="1"/>
        <v>1</v>
      </c>
      <c r="AB103" s="43">
        <f t="shared" si="2"/>
        <v>0.51139999999999997</v>
      </c>
      <c r="AC103" s="44" t="s">
        <v>14</v>
      </c>
      <c r="AD103" s="44" t="b">
        <f t="shared" si="4"/>
        <v>1</v>
      </c>
    </row>
    <row r="104" spans="1:30" ht="20.100000000000001" customHeight="1" x14ac:dyDescent="0.25">
      <c r="A104" s="360" t="s">
        <v>39</v>
      </c>
      <c r="B104" s="361"/>
      <c r="C104" s="361"/>
      <c r="D104" s="361"/>
      <c r="E104" s="361"/>
      <c r="F104" s="361"/>
      <c r="G104" s="361"/>
      <c r="H104" s="362"/>
      <c r="I104" s="55">
        <f>SUMIF($C$3:$C$100,"W",I3:I100)</f>
        <v>11.907000000000002</v>
      </c>
      <c r="J104" s="56" t="s">
        <v>14</v>
      </c>
      <c r="K104" s="57">
        <f>SUMIF($C$3:$C$100,"W",K3:K100)</f>
        <v>93721432.069999993</v>
      </c>
      <c r="L104" s="58">
        <f>SUMIF($C$3:$C$100,"W",L3:L100)</f>
        <v>40128069.939999998</v>
      </c>
      <c r="M104" s="58">
        <f>SUMIF($C$3:$C$100,"W",M3:M100)</f>
        <v>53593362.129999995</v>
      </c>
      <c r="N104" s="59" t="s">
        <v>14</v>
      </c>
      <c r="O104" s="58">
        <f t="shared" ref="O104:Z104" si="21">SUMIF($C$3:$C$100,"W",O3:O100)</f>
        <v>0</v>
      </c>
      <c r="P104" s="58">
        <f t="shared" si="21"/>
        <v>0</v>
      </c>
      <c r="Q104" s="60">
        <f t="shared" si="21"/>
        <v>0</v>
      </c>
      <c r="R104" s="60">
        <f t="shared" si="21"/>
        <v>0</v>
      </c>
      <c r="S104" s="60">
        <f t="shared" si="21"/>
        <v>0</v>
      </c>
      <c r="T104" s="60">
        <f t="shared" si="21"/>
        <v>0</v>
      </c>
      <c r="U104" s="60">
        <f t="shared" si="21"/>
        <v>9122707.4000000004</v>
      </c>
      <c r="V104" s="60">
        <f t="shared" si="21"/>
        <v>15716700.33</v>
      </c>
      <c r="W104" s="60">
        <f t="shared" si="21"/>
        <v>15288662.209999999</v>
      </c>
      <c r="X104" s="60">
        <f t="shared" si="21"/>
        <v>0</v>
      </c>
      <c r="Y104" s="60">
        <f t="shared" si="21"/>
        <v>0</v>
      </c>
      <c r="Z104" s="60">
        <f t="shared" si="21"/>
        <v>0</v>
      </c>
      <c r="AA104" s="1" t="b">
        <f t="shared" si="1"/>
        <v>1</v>
      </c>
      <c r="AB104" s="43">
        <f t="shared" ref="AB104" si="22">ROUND(L104/K104,4)</f>
        <v>0.42820000000000003</v>
      </c>
      <c r="AC104" s="44" t="s">
        <v>14</v>
      </c>
      <c r="AD104" s="44" t="b">
        <f t="shared" ref="AD104" si="23">K104=L104+M104</f>
        <v>1</v>
      </c>
    </row>
    <row r="105" spans="1:30" x14ac:dyDescent="0.25">
      <c r="A105" s="32"/>
      <c r="K105" s="5"/>
    </row>
    <row r="106" spans="1:30" x14ac:dyDescent="0.25">
      <c r="A106" s="33" t="s">
        <v>24</v>
      </c>
    </row>
    <row r="107" spans="1:30" x14ac:dyDescent="0.25">
      <c r="A107" s="34" t="s">
        <v>25</v>
      </c>
    </row>
    <row r="108" spans="1:30" x14ac:dyDescent="0.25">
      <c r="A108" s="33" t="s">
        <v>42</v>
      </c>
    </row>
    <row r="109" spans="1:30" x14ac:dyDescent="0.25">
      <c r="A109" s="219" t="s">
        <v>46</v>
      </c>
    </row>
    <row r="110" spans="1:30" ht="32.25" customHeight="1" x14ac:dyDescent="0.25">
      <c r="A110" s="347" t="s">
        <v>503</v>
      </c>
      <c r="B110" s="347"/>
      <c r="C110" s="347"/>
      <c r="D110" s="347"/>
      <c r="E110" s="347"/>
      <c r="F110" s="347"/>
      <c r="G110" s="347"/>
      <c r="H110" s="347"/>
      <c r="I110" s="347"/>
      <c r="J110" s="347"/>
      <c r="K110" s="347"/>
      <c r="L110" s="347"/>
      <c r="M110" s="347"/>
      <c r="N110" s="347"/>
      <c r="O110" s="347"/>
      <c r="P110" s="347"/>
      <c r="Q110" s="347"/>
    </row>
  </sheetData>
  <autoFilter ref="A2:AD104"/>
  <mergeCells count="20">
    <mergeCell ref="J1:J2"/>
    <mergeCell ref="K1:K2"/>
    <mergeCell ref="A1:A2"/>
    <mergeCell ref="B1:B2"/>
    <mergeCell ref="C1:C2"/>
    <mergeCell ref="F1:F2"/>
    <mergeCell ref="G1:G2"/>
    <mergeCell ref="D1:D2"/>
    <mergeCell ref="A110:Q110"/>
    <mergeCell ref="O1:Z1"/>
    <mergeCell ref="A104:H104"/>
    <mergeCell ref="A103:H103"/>
    <mergeCell ref="E1:E2"/>
    <mergeCell ref="A102:H102"/>
    <mergeCell ref="N1:N2"/>
    <mergeCell ref="L1:L2"/>
    <mergeCell ref="M1:M2"/>
    <mergeCell ref="A101:H101"/>
    <mergeCell ref="H1:H2"/>
    <mergeCell ref="I1:I2"/>
  </mergeCells>
  <conditionalFormatting sqref="AA3:AD3 AA4:AA104 AB4:AD102">
    <cfRule type="cellIs" dxfId="49" priority="94" operator="equal">
      <formula>FALSE</formula>
    </cfRule>
  </conditionalFormatting>
  <conditionalFormatting sqref="AA3:AC3 AA4:AA104 AB4:AC102">
    <cfRule type="containsText" dxfId="48" priority="92" operator="containsText" text="fałsz">
      <formula>NOT(ISERROR(SEARCH("fałsz",AA3)))</formula>
    </cfRule>
  </conditionalFormatting>
  <conditionalFormatting sqref="AB104:AC104">
    <cfRule type="cellIs" dxfId="47" priority="89" operator="equal">
      <formula>FALSE</formula>
    </cfRule>
  </conditionalFormatting>
  <conditionalFormatting sqref="AB104:AC104">
    <cfRule type="containsText" dxfId="46" priority="87" operator="containsText" text="fałsz">
      <formula>NOT(ISERROR(SEARCH("fałsz",AB104)))</formula>
    </cfRule>
  </conditionalFormatting>
  <conditionalFormatting sqref="AD104">
    <cfRule type="cellIs" dxfId="45" priority="86" operator="equal">
      <formula>FALSE</formula>
    </cfRule>
  </conditionalFormatting>
  <conditionalFormatting sqref="AD104">
    <cfRule type="cellIs" dxfId="44" priority="85" operator="equal">
      <formula>FALSE</formula>
    </cfRule>
  </conditionalFormatting>
  <conditionalFormatting sqref="AB103:AC103">
    <cfRule type="cellIs" dxfId="43" priority="84" operator="equal">
      <formula>FALSE</formula>
    </cfRule>
  </conditionalFormatting>
  <conditionalFormatting sqref="AB103:AC103">
    <cfRule type="containsText" dxfId="42" priority="82" operator="containsText" text="fałsz">
      <formula>NOT(ISERROR(SEARCH("fałsz",AB103)))</formula>
    </cfRule>
  </conditionalFormatting>
  <conditionalFormatting sqref="AD103">
    <cfRule type="cellIs" dxfId="41" priority="81" operator="equal">
      <formula>FALSE</formula>
    </cfRule>
  </conditionalFormatting>
  <conditionalFormatting sqref="AD103">
    <cfRule type="cellIs" dxfId="40" priority="80" operator="equal">
      <formula>FALSE</formula>
    </cfRule>
  </conditionalFormatting>
  <conditionalFormatting sqref="G3">
    <cfRule type="duplicateValues" dxfId="39" priority="16" stopIfTrue="1"/>
  </conditionalFormatting>
  <conditionalFormatting sqref="G5">
    <cfRule type="duplicateValues" dxfId="38" priority="15" stopIfTrue="1"/>
  </conditionalFormatting>
  <conditionalFormatting sqref="G6:G7">
    <cfRule type="duplicateValues" dxfId="37" priority="14" stopIfTrue="1"/>
  </conditionalFormatting>
  <conditionalFormatting sqref="G8:G10">
    <cfRule type="duplicateValues" dxfId="36" priority="13" stopIfTrue="1"/>
  </conditionalFormatting>
  <conditionalFormatting sqref="G11">
    <cfRule type="duplicateValues" dxfId="35" priority="12" stopIfTrue="1"/>
  </conditionalFormatting>
  <conditionalFormatting sqref="G12">
    <cfRule type="duplicateValues" dxfId="34" priority="11" stopIfTrue="1"/>
  </conditionalFormatting>
  <conditionalFormatting sqref="G13">
    <cfRule type="duplicateValues" dxfId="33" priority="10" stopIfTrue="1"/>
  </conditionalFormatting>
  <conditionalFormatting sqref="G14">
    <cfRule type="duplicateValues" dxfId="32" priority="9" stopIfTrue="1"/>
  </conditionalFormatting>
  <conditionalFormatting sqref="G15">
    <cfRule type="duplicateValues" dxfId="31" priority="8" stopIfTrue="1"/>
  </conditionalFormatting>
  <conditionalFormatting sqref="G16">
    <cfRule type="duplicateValues" dxfId="30" priority="7" stopIfTrue="1"/>
  </conditionalFormatting>
  <conditionalFormatting sqref="G17">
    <cfRule type="duplicateValues" dxfId="29" priority="6" stopIfTrue="1"/>
  </conditionalFormatting>
  <conditionalFormatting sqref="G18">
    <cfRule type="duplicateValues" dxfId="28" priority="5" stopIfTrue="1"/>
  </conditionalFormatting>
  <conditionalFormatting sqref="G19:G20">
    <cfRule type="duplicateValues" dxfId="27" priority="4" stopIfTrue="1"/>
  </conditionalFormatting>
  <conditionalFormatting sqref="G21">
    <cfRule type="duplicateValues" dxfId="26" priority="3" stopIfTrue="1"/>
  </conditionalFormatting>
  <conditionalFormatting sqref="G22">
    <cfRule type="duplicateValues" dxfId="25" priority="2" stopIfTrue="1"/>
  </conditionalFormatting>
  <conditionalFormatting sqref="G23">
    <cfRule type="duplicateValues" dxfId="24" priority="1" stopIfTrue="1"/>
  </conditionalFormatting>
  <dataValidations count="2">
    <dataValidation type="list" allowBlank="1" showInputMessage="1" showErrorMessage="1" sqref="WVP6:WVP10 JD6:JD10 SZ6:SZ10 ACV6:ACV10 AMR6:AMR10 AWN6:AWN10 BGJ6:BGJ10 BQF6:BQF10 CAB6:CAB10 CJX6:CJX10 CTT6:CTT10 DDP6:DDP10 DNL6:DNL10 DXH6:DXH10 EHD6:EHD10 EQZ6:EQZ10 FAV6:FAV10 FKR6:FKR10 FUN6:FUN10 GEJ6:GEJ10 GOF6:GOF10 GYB6:GYB10 HHX6:HHX10 HRT6:HRT10 IBP6:IBP10 ILL6:ILL10 IVH6:IVH10 JFD6:JFD10 JOZ6:JOZ10 JYV6:JYV10 KIR6:KIR10 KSN6:KSN10 LCJ6:LCJ10 LMF6:LMF10 LWB6:LWB10 MFX6:MFX10 MPT6:MPT10 MZP6:MZP10 NJL6:NJL10 NTH6:NTH10 ODD6:ODD10 OMZ6:OMZ10 OWV6:OWV10 PGR6:PGR10 PQN6:PQN10 QAJ6:QAJ10 QKF6:QKF10 QUB6:QUB10 RDX6:RDX10 RNT6:RNT10 RXP6:RXP10 SHL6:SHL10 SRH6:SRH10 TBD6:TBD10 TKZ6:TKZ10 TUV6:TUV10 UER6:UER10 UON6:UON10 UYJ6:UYJ10 VIF6:VIF10 VSB6:VSB10 WBX6:WBX10 WLT6:WLT10 H6:H10">
      <formula1>"B,P,R"</formula1>
    </dataValidation>
    <dataValidation type="list" allowBlank="1" showInputMessage="1" showErrorMessage="1" sqref="C88:C100 C69:C86 WVK6:WVK40 IY6:IY40 SU6:SU40 ACQ6:ACQ40 AMM6:AMM40 AWI6:AWI40 BGE6:BGE40 BQA6:BQA40 BZW6:BZW40 CJS6:CJS40 CTO6:CTO40 DDK6:DDK40 DNG6:DNG40 DXC6:DXC40 EGY6:EGY40 EQU6:EQU40 FAQ6:FAQ40 FKM6:FKM40 FUI6:FUI40 GEE6:GEE40 GOA6:GOA40 GXW6:GXW40 HHS6:HHS40 HRO6:HRO40 IBK6:IBK40 ILG6:ILG40 IVC6:IVC40 JEY6:JEY40 JOU6:JOU40 JYQ6:JYQ40 KIM6:KIM40 KSI6:KSI40 LCE6:LCE40 LMA6:LMA40 LVW6:LVW40 MFS6:MFS40 MPO6:MPO40 MZK6:MZK40 NJG6:NJG40 NTC6:NTC40 OCY6:OCY40 OMU6:OMU40 OWQ6:OWQ40 PGM6:PGM40 PQI6:PQI40 QAE6:QAE40 QKA6:QKA40 QTW6:QTW40 RDS6:RDS40 RNO6:RNO40 RXK6:RXK40 SHG6:SHG40 SRC6:SRC40 TAY6:TAY40 TKU6:TKU40 TUQ6:TUQ40 UEM6:UEM40 UOI6:UOI40 UYE6:UYE40 VIA6:VIA40 VRW6:VRW40 WBS6:WBS40 WLO6:WLO40 C3:C67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6" fitToHeight="0" orientation="landscape" r:id="rId1"/>
  <headerFooter>
    <oddHeader>&amp;LWojewództwo podlaskie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2"/>
  <sheetViews>
    <sheetView showGridLines="0" view="pageBreakPreview" zoomScale="115" zoomScaleNormal="78" zoomScaleSheetLayoutView="115" workbookViewId="0">
      <selection activeCell="A34" sqref="A34"/>
    </sheetView>
  </sheetViews>
  <sheetFormatPr defaultColWidth="9.140625" defaultRowHeight="15" x14ac:dyDescent="0.25"/>
  <cols>
    <col min="1" max="2" width="7.140625" style="14" customWidth="1"/>
    <col min="3" max="3" width="17.42578125" style="14" customWidth="1"/>
    <col min="4" max="4" width="19.42578125" style="14" customWidth="1"/>
    <col min="5" max="5" width="15.7109375" style="14" customWidth="1"/>
    <col min="6" max="6" width="67.140625" style="14" customWidth="1"/>
    <col min="7" max="7" width="9.28515625" style="14" customWidth="1"/>
    <col min="8" max="8" width="13.28515625" style="14" customWidth="1"/>
    <col min="9" max="9" width="13.7109375" style="14" customWidth="1"/>
    <col min="10" max="10" width="15.7109375" style="38" customWidth="1"/>
    <col min="11" max="11" width="18.5703125" style="14" customWidth="1"/>
    <col min="12" max="12" width="15.7109375" style="14" customWidth="1"/>
    <col min="13" max="13" width="15.7109375" style="1" customWidth="1"/>
    <col min="14" max="29" width="15.7109375" style="14" customWidth="1"/>
    <col min="30" max="16384" width="9.140625" style="14"/>
  </cols>
  <sheetData>
    <row r="1" spans="1:30" ht="20.100000000000001" customHeight="1" x14ac:dyDescent="0.25">
      <c r="A1" s="349" t="s">
        <v>4</v>
      </c>
      <c r="B1" s="348" t="s">
        <v>5</v>
      </c>
      <c r="C1" s="356" t="s">
        <v>45</v>
      </c>
      <c r="D1" s="352" t="s">
        <v>6</v>
      </c>
      <c r="E1" s="356" t="s">
        <v>32</v>
      </c>
      <c r="F1" s="352" t="s">
        <v>7</v>
      </c>
      <c r="G1" s="348" t="s">
        <v>26</v>
      </c>
      <c r="H1" s="348" t="s">
        <v>8</v>
      </c>
      <c r="I1" s="348" t="s">
        <v>23</v>
      </c>
      <c r="J1" s="349" t="s">
        <v>9</v>
      </c>
      <c r="K1" s="348" t="s">
        <v>10</v>
      </c>
      <c r="L1" s="352" t="s">
        <v>13</v>
      </c>
      <c r="M1" s="348" t="s">
        <v>11</v>
      </c>
      <c r="N1" s="357" t="s">
        <v>12</v>
      </c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</row>
    <row r="2" spans="1:30" ht="20.100000000000001" customHeight="1" x14ac:dyDescent="0.25">
      <c r="A2" s="349"/>
      <c r="B2" s="348"/>
      <c r="C2" s="357"/>
      <c r="D2" s="353"/>
      <c r="E2" s="357"/>
      <c r="F2" s="353"/>
      <c r="G2" s="348"/>
      <c r="H2" s="348"/>
      <c r="I2" s="348"/>
      <c r="J2" s="349"/>
      <c r="K2" s="348"/>
      <c r="L2" s="353"/>
      <c r="M2" s="348"/>
      <c r="N2" s="37">
        <v>2019</v>
      </c>
      <c r="O2" s="37">
        <v>2020</v>
      </c>
      <c r="P2" s="37">
        <v>2021</v>
      </c>
      <c r="Q2" s="37">
        <v>2022</v>
      </c>
      <c r="R2" s="37">
        <v>2023</v>
      </c>
      <c r="S2" s="37">
        <v>2024</v>
      </c>
      <c r="T2" s="37">
        <v>2025</v>
      </c>
      <c r="U2" s="37">
        <v>2026</v>
      </c>
      <c r="V2" s="37">
        <v>2027</v>
      </c>
      <c r="W2" s="37">
        <v>2028</v>
      </c>
      <c r="X2" s="134">
        <v>2029</v>
      </c>
      <c r="Y2" s="134">
        <v>2030</v>
      </c>
      <c r="Z2" s="1" t="s">
        <v>28</v>
      </c>
      <c r="AA2" s="1" t="s">
        <v>29</v>
      </c>
      <c r="AB2" s="1" t="s">
        <v>30</v>
      </c>
      <c r="AC2" s="42" t="s">
        <v>31</v>
      </c>
    </row>
    <row r="3" spans="1:30" s="45" customFormat="1" ht="37.5" customHeight="1" x14ac:dyDescent="0.25">
      <c r="A3" s="228">
        <v>1</v>
      </c>
      <c r="B3" s="197">
        <v>192</v>
      </c>
      <c r="C3" s="215" t="s">
        <v>300</v>
      </c>
      <c r="D3" s="197" t="s">
        <v>61</v>
      </c>
      <c r="E3" s="197">
        <v>2013</v>
      </c>
      <c r="F3" s="198" t="s">
        <v>255</v>
      </c>
      <c r="G3" s="197" t="s">
        <v>87</v>
      </c>
      <c r="H3" s="199">
        <v>0.45400000000000001</v>
      </c>
      <c r="I3" s="197" t="s">
        <v>256</v>
      </c>
      <c r="J3" s="247">
        <v>8004000</v>
      </c>
      <c r="K3" s="248">
        <f t="shared" ref="K3:K32" si="0">ROUNDDOWN(J3*M3,2)</f>
        <v>4002000</v>
      </c>
      <c r="L3" s="248">
        <f t="shared" ref="L3:L34" si="1">J3-K3</f>
        <v>4002000</v>
      </c>
      <c r="M3" s="200">
        <v>0.5</v>
      </c>
      <c r="N3" s="244">
        <v>0</v>
      </c>
      <c r="O3" s="244">
        <v>0</v>
      </c>
      <c r="P3" s="244">
        <v>0</v>
      </c>
      <c r="Q3" s="244">
        <v>0</v>
      </c>
      <c r="R3" s="244">
        <v>0</v>
      </c>
      <c r="S3" s="244">
        <v>0</v>
      </c>
      <c r="T3" s="244">
        <v>252000</v>
      </c>
      <c r="U3" s="244">
        <v>10000</v>
      </c>
      <c r="V3" s="244">
        <v>3740000</v>
      </c>
      <c r="W3" s="244">
        <v>0</v>
      </c>
      <c r="X3" s="244">
        <v>0</v>
      </c>
      <c r="Y3" s="245">
        <v>0</v>
      </c>
      <c r="Z3" s="1" t="b">
        <f>K3=SUM(N3:Y3)</f>
        <v>1</v>
      </c>
      <c r="AA3" s="43">
        <f t="shared" ref="AA3:AA33" si="2">ROUND(K3/J3,4)</f>
        <v>0.5</v>
      </c>
      <c r="AB3" s="44" t="b">
        <f t="shared" ref="AB3:AB33" si="3">AA3=M3</f>
        <v>1</v>
      </c>
      <c r="AC3" s="44" t="b">
        <f t="shared" ref="AC3:AC33" si="4">J3=K3+L3</f>
        <v>1</v>
      </c>
      <c r="AD3" s="46"/>
    </row>
    <row r="4" spans="1:30" s="45" customFormat="1" ht="37.5" customHeight="1" x14ac:dyDescent="0.25">
      <c r="A4" s="155">
        <v>2</v>
      </c>
      <c r="B4" s="179">
        <v>318</v>
      </c>
      <c r="C4" s="215" t="s">
        <v>300</v>
      </c>
      <c r="D4" s="179" t="s">
        <v>59</v>
      </c>
      <c r="E4" s="179">
        <v>2011</v>
      </c>
      <c r="F4" s="190" t="s">
        <v>257</v>
      </c>
      <c r="G4" s="179" t="s">
        <v>83</v>
      </c>
      <c r="H4" s="156">
        <v>0.37</v>
      </c>
      <c r="I4" s="179" t="s">
        <v>258</v>
      </c>
      <c r="J4" s="249">
        <v>782500</v>
      </c>
      <c r="K4" s="157">
        <f t="shared" si="0"/>
        <v>391250</v>
      </c>
      <c r="L4" s="157">
        <f t="shared" si="1"/>
        <v>391250</v>
      </c>
      <c r="M4" s="152">
        <v>0.5</v>
      </c>
      <c r="N4" s="246">
        <v>0</v>
      </c>
      <c r="O4" s="246">
        <v>0</v>
      </c>
      <c r="P4" s="246">
        <v>0</v>
      </c>
      <c r="Q4" s="246">
        <v>0</v>
      </c>
      <c r="R4" s="154">
        <v>0</v>
      </c>
      <c r="S4" s="243">
        <v>0</v>
      </c>
      <c r="T4" s="154">
        <v>116250</v>
      </c>
      <c r="U4" s="154">
        <v>150000</v>
      </c>
      <c r="V4" s="154">
        <v>125000</v>
      </c>
      <c r="W4" s="154">
        <v>0</v>
      </c>
      <c r="X4" s="154">
        <v>0</v>
      </c>
      <c r="Y4" s="153">
        <v>0</v>
      </c>
      <c r="Z4" s="1" t="b">
        <f t="shared" ref="Z4:Z34" si="5">K4=SUM(N4:Y4)</f>
        <v>1</v>
      </c>
      <c r="AA4" s="43">
        <f t="shared" si="2"/>
        <v>0.5</v>
      </c>
      <c r="AB4" s="44" t="b">
        <f t="shared" si="3"/>
        <v>1</v>
      </c>
      <c r="AC4" s="44" t="b">
        <f t="shared" si="4"/>
        <v>1</v>
      </c>
      <c r="AD4" s="46"/>
    </row>
    <row r="5" spans="1:30" s="45" customFormat="1" ht="37.5" customHeight="1" x14ac:dyDescent="0.25">
      <c r="A5" s="195">
        <v>3</v>
      </c>
      <c r="B5" s="182">
        <v>152</v>
      </c>
      <c r="C5" s="143" t="s">
        <v>299</v>
      </c>
      <c r="D5" s="182" t="s">
        <v>58</v>
      </c>
      <c r="E5" s="182">
        <v>2010</v>
      </c>
      <c r="F5" s="183" t="s">
        <v>259</v>
      </c>
      <c r="G5" s="182" t="s">
        <v>87</v>
      </c>
      <c r="H5" s="185">
        <v>5.5250000000000004</v>
      </c>
      <c r="I5" s="182" t="s">
        <v>234</v>
      </c>
      <c r="J5" s="241">
        <v>7938004.5999999996</v>
      </c>
      <c r="K5" s="241">
        <f t="shared" si="0"/>
        <v>3969002.3</v>
      </c>
      <c r="L5" s="241">
        <f t="shared" si="1"/>
        <v>3969002.3</v>
      </c>
      <c r="M5" s="186">
        <v>0.5</v>
      </c>
      <c r="N5" s="216">
        <v>0</v>
      </c>
      <c r="O5" s="216">
        <v>0</v>
      </c>
      <c r="P5" s="216">
        <v>0</v>
      </c>
      <c r="Q5" s="216">
        <v>0</v>
      </c>
      <c r="R5" s="216">
        <v>0</v>
      </c>
      <c r="S5" s="216">
        <v>0</v>
      </c>
      <c r="T5" s="216">
        <f>K5</f>
        <v>3969002.3</v>
      </c>
      <c r="U5" s="216">
        <v>0</v>
      </c>
      <c r="V5" s="216">
        <v>0</v>
      </c>
      <c r="W5" s="216">
        <v>0</v>
      </c>
      <c r="X5" s="216">
        <v>0</v>
      </c>
      <c r="Y5" s="230">
        <v>0</v>
      </c>
      <c r="Z5" s="1" t="b">
        <f t="shared" si="5"/>
        <v>1</v>
      </c>
      <c r="AA5" s="43">
        <f t="shared" si="2"/>
        <v>0.5</v>
      </c>
      <c r="AB5" s="44" t="b">
        <f t="shared" si="3"/>
        <v>1</v>
      </c>
      <c r="AC5" s="44" t="b">
        <f t="shared" si="4"/>
        <v>1</v>
      </c>
      <c r="AD5" s="46"/>
    </row>
    <row r="6" spans="1:30" s="45" customFormat="1" ht="37.5" customHeight="1" x14ac:dyDescent="0.25">
      <c r="A6" s="155">
        <v>4</v>
      </c>
      <c r="B6" s="179">
        <v>303</v>
      </c>
      <c r="C6" s="215" t="s">
        <v>300</v>
      </c>
      <c r="D6" s="179" t="s">
        <v>51</v>
      </c>
      <c r="E6" s="179">
        <v>2004</v>
      </c>
      <c r="F6" s="190" t="s">
        <v>260</v>
      </c>
      <c r="G6" s="179" t="s">
        <v>85</v>
      </c>
      <c r="H6" s="156">
        <v>4.327</v>
      </c>
      <c r="I6" s="179" t="s">
        <v>226</v>
      </c>
      <c r="J6" s="150">
        <v>12524350.880000001</v>
      </c>
      <c r="K6" s="157">
        <f t="shared" si="0"/>
        <v>6262175.4400000004</v>
      </c>
      <c r="L6" s="157">
        <f t="shared" si="1"/>
        <v>6262175.4400000004</v>
      </c>
      <c r="M6" s="152">
        <v>0.5</v>
      </c>
      <c r="N6" s="154">
        <v>0</v>
      </c>
      <c r="O6" s="154">
        <v>0</v>
      </c>
      <c r="P6" s="154">
        <v>0</v>
      </c>
      <c r="Q6" s="154">
        <v>0</v>
      </c>
      <c r="R6" s="154">
        <v>0</v>
      </c>
      <c r="S6" s="154">
        <v>0</v>
      </c>
      <c r="T6" s="154">
        <v>2087391.81</v>
      </c>
      <c r="U6" s="154">
        <v>2087391.81</v>
      </c>
      <c r="V6" s="154">
        <v>2087391.82</v>
      </c>
      <c r="W6" s="154">
        <v>0</v>
      </c>
      <c r="X6" s="154">
        <v>0</v>
      </c>
      <c r="Y6" s="153">
        <v>0</v>
      </c>
      <c r="Z6" s="1" t="b">
        <f t="shared" si="5"/>
        <v>1</v>
      </c>
      <c r="AA6" s="43">
        <f t="shared" si="2"/>
        <v>0.5</v>
      </c>
      <c r="AB6" s="44" t="b">
        <f t="shared" si="3"/>
        <v>1</v>
      </c>
      <c r="AC6" s="44" t="b">
        <f t="shared" si="4"/>
        <v>1</v>
      </c>
      <c r="AD6" s="46"/>
    </row>
    <row r="7" spans="1:30" s="45" customFormat="1" ht="37.5" customHeight="1" x14ac:dyDescent="0.25">
      <c r="A7" s="195">
        <v>5</v>
      </c>
      <c r="B7" s="182">
        <v>375</v>
      </c>
      <c r="C7" s="143" t="s">
        <v>299</v>
      </c>
      <c r="D7" s="182" t="s">
        <v>52</v>
      </c>
      <c r="E7" s="182">
        <v>2004</v>
      </c>
      <c r="F7" s="183" t="s">
        <v>261</v>
      </c>
      <c r="G7" s="182" t="s">
        <v>85</v>
      </c>
      <c r="H7" s="185">
        <v>3.6749999999999998</v>
      </c>
      <c r="I7" s="182" t="s">
        <v>262</v>
      </c>
      <c r="J7" s="250">
        <v>8143000</v>
      </c>
      <c r="K7" s="241">
        <f t="shared" si="0"/>
        <v>4071500</v>
      </c>
      <c r="L7" s="241">
        <f t="shared" si="1"/>
        <v>4071500</v>
      </c>
      <c r="M7" s="186">
        <v>0.5</v>
      </c>
      <c r="N7" s="230">
        <v>0</v>
      </c>
      <c r="O7" s="230">
        <v>0</v>
      </c>
      <c r="P7" s="230">
        <v>0</v>
      </c>
      <c r="Q7" s="230">
        <v>0</v>
      </c>
      <c r="R7" s="230">
        <v>0</v>
      </c>
      <c r="S7" s="230">
        <v>0</v>
      </c>
      <c r="T7" s="216">
        <f>K7</f>
        <v>4071500</v>
      </c>
      <c r="U7" s="216">
        <v>0</v>
      </c>
      <c r="V7" s="216">
        <v>0</v>
      </c>
      <c r="W7" s="216">
        <v>0</v>
      </c>
      <c r="X7" s="216">
        <v>0</v>
      </c>
      <c r="Y7" s="230">
        <v>0</v>
      </c>
      <c r="Z7" s="1" t="b">
        <f t="shared" si="5"/>
        <v>1</v>
      </c>
      <c r="AA7" s="43">
        <f t="shared" si="2"/>
        <v>0.5</v>
      </c>
      <c r="AB7" s="44" t="b">
        <f t="shared" si="3"/>
        <v>1</v>
      </c>
      <c r="AC7" s="44" t="b">
        <f t="shared" si="4"/>
        <v>1</v>
      </c>
      <c r="AD7" s="46"/>
    </row>
    <row r="8" spans="1:30" s="45" customFormat="1" ht="37.5" customHeight="1" x14ac:dyDescent="0.25">
      <c r="A8" s="195">
        <v>6</v>
      </c>
      <c r="B8" s="182">
        <v>97</v>
      </c>
      <c r="C8" s="143" t="s">
        <v>299</v>
      </c>
      <c r="D8" s="182" t="s">
        <v>50</v>
      </c>
      <c r="E8" s="182">
        <v>2002</v>
      </c>
      <c r="F8" s="183" t="s">
        <v>263</v>
      </c>
      <c r="G8" s="182" t="s">
        <v>85</v>
      </c>
      <c r="H8" s="187">
        <v>3.673</v>
      </c>
      <c r="I8" s="182" t="s">
        <v>213</v>
      </c>
      <c r="J8" s="240">
        <v>15444198.720000001</v>
      </c>
      <c r="K8" s="241">
        <f t="shared" si="0"/>
        <v>7722099.3600000003</v>
      </c>
      <c r="L8" s="241">
        <f t="shared" si="1"/>
        <v>7722099.3600000003</v>
      </c>
      <c r="M8" s="186">
        <v>0.5</v>
      </c>
      <c r="N8" s="216">
        <v>0</v>
      </c>
      <c r="O8" s="216">
        <v>0</v>
      </c>
      <c r="P8" s="216">
        <v>0</v>
      </c>
      <c r="Q8" s="216">
        <v>0</v>
      </c>
      <c r="R8" s="216">
        <v>0</v>
      </c>
      <c r="S8" s="216">
        <v>0</v>
      </c>
      <c r="T8" s="216">
        <f>K8</f>
        <v>7722099.3600000003</v>
      </c>
      <c r="U8" s="216">
        <v>0</v>
      </c>
      <c r="V8" s="216">
        <v>0</v>
      </c>
      <c r="W8" s="216">
        <v>0</v>
      </c>
      <c r="X8" s="216">
        <v>0</v>
      </c>
      <c r="Y8" s="230">
        <v>0</v>
      </c>
      <c r="Z8" s="1" t="b">
        <f t="shared" si="5"/>
        <v>1</v>
      </c>
      <c r="AA8" s="43">
        <f t="shared" si="2"/>
        <v>0.5</v>
      </c>
      <c r="AB8" s="44" t="b">
        <f t="shared" si="3"/>
        <v>1</v>
      </c>
      <c r="AC8" s="44" t="b">
        <f t="shared" si="4"/>
        <v>1</v>
      </c>
      <c r="AD8" s="46"/>
    </row>
    <row r="9" spans="1:30" s="45" customFormat="1" ht="37.5" customHeight="1" x14ac:dyDescent="0.25">
      <c r="A9" s="155">
        <v>7</v>
      </c>
      <c r="B9" s="179">
        <v>319</v>
      </c>
      <c r="C9" s="215" t="s">
        <v>300</v>
      </c>
      <c r="D9" s="179" t="s">
        <v>59</v>
      </c>
      <c r="E9" s="179">
        <v>2011</v>
      </c>
      <c r="F9" s="190" t="s">
        <v>264</v>
      </c>
      <c r="G9" s="179" t="s">
        <v>83</v>
      </c>
      <c r="H9" s="148">
        <v>3.11</v>
      </c>
      <c r="I9" s="179" t="s">
        <v>258</v>
      </c>
      <c r="J9" s="150">
        <v>6502000</v>
      </c>
      <c r="K9" s="157">
        <f t="shared" si="0"/>
        <v>3251000</v>
      </c>
      <c r="L9" s="157">
        <f t="shared" si="1"/>
        <v>3251000</v>
      </c>
      <c r="M9" s="152">
        <v>0.5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1251000</v>
      </c>
      <c r="U9" s="154">
        <v>1000000</v>
      </c>
      <c r="V9" s="154">
        <v>1000000</v>
      </c>
      <c r="W9" s="154">
        <v>0</v>
      </c>
      <c r="X9" s="154">
        <v>0</v>
      </c>
      <c r="Y9" s="153">
        <v>0</v>
      </c>
      <c r="Z9" s="1" t="b">
        <f t="shared" si="5"/>
        <v>1</v>
      </c>
      <c r="AA9" s="43">
        <f t="shared" si="2"/>
        <v>0.5</v>
      </c>
      <c r="AB9" s="44" t="b">
        <f t="shared" si="3"/>
        <v>1</v>
      </c>
      <c r="AC9" s="44" t="b">
        <f t="shared" si="4"/>
        <v>1</v>
      </c>
      <c r="AD9" s="46"/>
    </row>
    <row r="10" spans="1:30" s="45" customFormat="1" ht="37.5" customHeight="1" x14ac:dyDescent="0.25">
      <c r="A10" s="155">
        <v>8</v>
      </c>
      <c r="B10" s="179">
        <v>315</v>
      </c>
      <c r="C10" s="215" t="s">
        <v>300</v>
      </c>
      <c r="D10" s="179" t="s">
        <v>59</v>
      </c>
      <c r="E10" s="179">
        <v>2011</v>
      </c>
      <c r="F10" s="190" t="s">
        <v>265</v>
      </c>
      <c r="G10" s="179" t="s">
        <v>85</v>
      </c>
      <c r="H10" s="148">
        <v>2.8319999999999999</v>
      </c>
      <c r="I10" s="179" t="s">
        <v>258</v>
      </c>
      <c r="J10" s="150">
        <v>6212500</v>
      </c>
      <c r="K10" s="157">
        <f t="shared" si="0"/>
        <v>3106250</v>
      </c>
      <c r="L10" s="157">
        <f t="shared" si="1"/>
        <v>3106250</v>
      </c>
      <c r="M10" s="152">
        <v>0.5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606250</v>
      </c>
      <c r="U10" s="154">
        <v>1500000</v>
      </c>
      <c r="V10" s="154">
        <v>1000000</v>
      </c>
      <c r="W10" s="154">
        <v>0</v>
      </c>
      <c r="X10" s="154">
        <v>0</v>
      </c>
      <c r="Y10" s="153">
        <v>0</v>
      </c>
      <c r="Z10" s="1" t="b">
        <f t="shared" si="5"/>
        <v>1</v>
      </c>
      <c r="AA10" s="43">
        <f t="shared" si="2"/>
        <v>0.5</v>
      </c>
      <c r="AB10" s="44" t="b">
        <f t="shared" si="3"/>
        <v>1</v>
      </c>
      <c r="AC10" s="44" t="b">
        <f t="shared" si="4"/>
        <v>1</v>
      </c>
      <c r="AD10" s="46"/>
    </row>
    <row r="11" spans="1:30" s="45" customFormat="1" ht="37.5" customHeight="1" x14ac:dyDescent="0.25">
      <c r="A11" s="195">
        <v>9</v>
      </c>
      <c r="B11" s="182">
        <v>112</v>
      </c>
      <c r="C11" s="143" t="s">
        <v>299</v>
      </c>
      <c r="D11" s="182" t="s">
        <v>50</v>
      </c>
      <c r="E11" s="182">
        <v>2002</v>
      </c>
      <c r="F11" s="183" t="s">
        <v>266</v>
      </c>
      <c r="G11" s="182" t="s">
        <v>85</v>
      </c>
      <c r="H11" s="185">
        <v>2.3410000000000002</v>
      </c>
      <c r="I11" s="182" t="s">
        <v>213</v>
      </c>
      <c r="J11" s="240">
        <v>22172000</v>
      </c>
      <c r="K11" s="241">
        <f t="shared" si="0"/>
        <v>11086000</v>
      </c>
      <c r="L11" s="241">
        <f t="shared" si="1"/>
        <v>11086000</v>
      </c>
      <c r="M11" s="186">
        <v>0.5</v>
      </c>
      <c r="N11" s="230">
        <v>0</v>
      </c>
      <c r="O11" s="230">
        <v>0</v>
      </c>
      <c r="P11" s="230">
        <v>0</v>
      </c>
      <c r="Q11" s="230">
        <v>0</v>
      </c>
      <c r="R11" s="230">
        <v>0</v>
      </c>
      <c r="S11" s="230">
        <v>0</v>
      </c>
      <c r="T11" s="216">
        <f>K11</f>
        <v>11086000</v>
      </c>
      <c r="U11" s="216">
        <v>0</v>
      </c>
      <c r="V11" s="216">
        <v>0</v>
      </c>
      <c r="W11" s="216">
        <v>0</v>
      </c>
      <c r="X11" s="216">
        <v>0</v>
      </c>
      <c r="Y11" s="230">
        <v>0</v>
      </c>
      <c r="Z11" s="1" t="b">
        <f t="shared" si="5"/>
        <v>1</v>
      </c>
      <c r="AA11" s="43">
        <f t="shared" si="2"/>
        <v>0.5</v>
      </c>
      <c r="AB11" s="44" t="b">
        <f t="shared" si="3"/>
        <v>1</v>
      </c>
      <c r="AC11" s="44" t="b">
        <f t="shared" si="4"/>
        <v>1</v>
      </c>
      <c r="AD11" s="46"/>
    </row>
    <row r="12" spans="1:30" s="45" customFormat="1" ht="37.5" customHeight="1" x14ac:dyDescent="0.25">
      <c r="A12" s="195">
        <v>10</v>
      </c>
      <c r="B12" s="182">
        <v>379</v>
      </c>
      <c r="C12" s="143" t="s">
        <v>299</v>
      </c>
      <c r="D12" s="182" t="s">
        <v>52</v>
      </c>
      <c r="E12" s="182">
        <v>2004</v>
      </c>
      <c r="F12" s="183" t="s">
        <v>267</v>
      </c>
      <c r="G12" s="182" t="s">
        <v>85</v>
      </c>
      <c r="H12" s="185">
        <v>2.23</v>
      </c>
      <c r="I12" s="182" t="s">
        <v>262</v>
      </c>
      <c r="J12" s="241">
        <v>4943000</v>
      </c>
      <c r="K12" s="241">
        <f t="shared" si="0"/>
        <v>2471500</v>
      </c>
      <c r="L12" s="241">
        <f t="shared" si="1"/>
        <v>2471500</v>
      </c>
      <c r="M12" s="186">
        <v>0.5</v>
      </c>
      <c r="N12" s="216">
        <v>0</v>
      </c>
      <c r="O12" s="216">
        <v>0</v>
      </c>
      <c r="P12" s="216">
        <v>0</v>
      </c>
      <c r="Q12" s="216">
        <v>0</v>
      </c>
      <c r="R12" s="216">
        <v>0</v>
      </c>
      <c r="S12" s="216">
        <v>0</v>
      </c>
      <c r="T12" s="216">
        <f>K12</f>
        <v>2471500</v>
      </c>
      <c r="U12" s="216">
        <v>0</v>
      </c>
      <c r="V12" s="216">
        <v>0</v>
      </c>
      <c r="W12" s="216">
        <v>0</v>
      </c>
      <c r="X12" s="216">
        <v>0</v>
      </c>
      <c r="Y12" s="230">
        <v>0</v>
      </c>
      <c r="Z12" s="1" t="b">
        <f t="shared" si="5"/>
        <v>1</v>
      </c>
      <c r="AA12" s="43">
        <f t="shared" si="2"/>
        <v>0.5</v>
      </c>
      <c r="AB12" s="44" t="b">
        <f t="shared" si="3"/>
        <v>1</v>
      </c>
      <c r="AC12" s="44" t="b">
        <f t="shared" si="4"/>
        <v>1</v>
      </c>
      <c r="AD12" s="46"/>
    </row>
    <row r="13" spans="1:30" s="45" customFormat="1" ht="37.5" customHeight="1" x14ac:dyDescent="0.25">
      <c r="A13" s="155">
        <v>11</v>
      </c>
      <c r="B13" s="179">
        <v>241</v>
      </c>
      <c r="C13" s="215" t="s">
        <v>300</v>
      </c>
      <c r="D13" s="179" t="s">
        <v>55</v>
      </c>
      <c r="E13" s="179">
        <v>2007</v>
      </c>
      <c r="F13" s="190" t="s">
        <v>268</v>
      </c>
      <c r="G13" s="179" t="s">
        <v>85</v>
      </c>
      <c r="H13" s="148">
        <v>1.7</v>
      </c>
      <c r="I13" s="179" t="s">
        <v>278</v>
      </c>
      <c r="J13" s="150">
        <v>10006000</v>
      </c>
      <c r="K13" s="157">
        <f t="shared" si="0"/>
        <v>5003000</v>
      </c>
      <c r="L13" s="157">
        <f t="shared" si="1"/>
        <v>5003000</v>
      </c>
      <c r="M13" s="152">
        <v>0.5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2500</v>
      </c>
      <c r="U13" s="154">
        <v>1500000</v>
      </c>
      <c r="V13" s="154">
        <v>3500500</v>
      </c>
      <c r="W13" s="154">
        <v>0</v>
      </c>
      <c r="X13" s="154">
        <v>0</v>
      </c>
      <c r="Y13" s="153">
        <v>0</v>
      </c>
      <c r="Z13" s="1" t="b">
        <f t="shared" si="5"/>
        <v>1</v>
      </c>
      <c r="AA13" s="43">
        <f t="shared" si="2"/>
        <v>0.5</v>
      </c>
      <c r="AB13" s="44" t="b">
        <f t="shared" si="3"/>
        <v>1</v>
      </c>
      <c r="AC13" s="44" t="b">
        <f t="shared" si="4"/>
        <v>1</v>
      </c>
      <c r="AD13" s="46"/>
    </row>
    <row r="14" spans="1:30" s="45" customFormat="1" ht="37.5" customHeight="1" x14ac:dyDescent="0.25">
      <c r="A14" s="195">
        <v>12</v>
      </c>
      <c r="B14" s="182">
        <v>98</v>
      </c>
      <c r="C14" s="143" t="s">
        <v>299</v>
      </c>
      <c r="D14" s="182" t="s">
        <v>50</v>
      </c>
      <c r="E14" s="182">
        <v>2002</v>
      </c>
      <c r="F14" s="183" t="s">
        <v>269</v>
      </c>
      <c r="G14" s="182" t="s">
        <v>85</v>
      </c>
      <c r="H14" s="187">
        <v>1.6719999999999999</v>
      </c>
      <c r="I14" s="182" t="s">
        <v>213</v>
      </c>
      <c r="J14" s="240">
        <v>6064000</v>
      </c>
      <c r="K14" s="241">
        <f t="shared" si="0"/>
        <v>3032000</v>
      </c>
      <c r="L14" s="241">
        <f t="shared" si="1"/>
        <v>3032000</v>
      </c>
      <c r="M14" s="186">
        <v>0.5</v>
      </c>
      <c r="N14" s="216">
        <v>0</v>
      </c>
      <c r="O14" s="216">
        <v>0</v>
      </c>
      <c r="P14" s="216">
        <v>0</v>
      </c>
      <c r="Q14" s="216">
        <v>0</v>
      </c>
      <c r="R14" s="216">
        <v>0</v>
      </c>
      <c r="S14" s="216">
        <v>0</v>
      </c>
      <c r="T14" s="216">
        <f>K14</f>
        <v>3032000</v>
      </c>
      <c r="U14" s="216">
        <v>0</v>
      </c>
      <c r="V14" s="216">
        <v>0</v>
      </c>
      <c r="W14" s="216">
        <v>0</v>
      </c>
      <c r="X14" s="216">
        <v>0</v>
      </c>
      <c r="Y14" s="230">
        <v>0</v>
      </c>
      <c r="Z14" s="1" t="b">
        <f t="shared" si="5"/>
        <v>1</v>
      </c>
      <c r="AA14" s="43">
        <f t="shared" si="2"/>
        <v>0.5</v>
      </c>
      <c r="AB14" s="44" t="b">
        <f t="shared" si="3"/>
        <v>1</v>
      </c>
      <c r="AC14" s="44" t="b">
        <f t="shared" si="4"/>
        <v>1</v>
      </c>
      <c r="AD14" s="46"/>
    </row>
    <row r="15" spans="1:30" s="45" customFormat="1" ht="37.5" customHeight="1" x14ac:dyDescent="0.25">
      <c r="A15" s="155">
        <v>13</v>
      </c>
      <c r="B15" s="179">
        <v>67</v>
      </c>
      <c r="C15" s="215" t="s">
        <v>300</v>
      </c>
      <c r="D15" s="179" t="s">
        <v>270</v>
      </c>
      <c r="E15" s="179">
        <v>2062011</v>
      </c>
      <c r="F15" s="190" t="s">
        <v>271</v>
      </c>
      <c r="G15" s="179" t="s">
        <v>85</v>
      </c>
      <c r="H15" s="148">
        <v>1.4670000000000001</v>
      </c>
      <c r="I15" s="179" t="s">
        <v>272</v>
      </c>
      <c r="J15" s="150">
        <v>25110305</v>
      </c>
      <c r="K15" s="157">
        <f t="shared" si="0"/>
        <v>12555152.5</v>
      </c>
      <c r="L15" s="157">
        <f t="shared" si="1"/>
        <v>12555152.5</v>
      </c>
      <c r="M15" s="152">
        <v>0.5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7305152.5</v>
      </c>
      <c r="U15" s="154">
        <v>250000</v>
      </c>
      <c r="V15" s="154">
        <v>5000000</v>
      </c>
      <c r="W15" s="154">
        <v>0</v>
      </c>
      <c r="X15" s="154">
        <v>0</v>
      </c>
      <c r="Y15" s="153">
        <v>0</v>
      </c>
      <c r="Z15" s="1" t="b">
        <f t="shared" si="5"/>
        <v>1</v>
      </c>
      <c r="AA15" s="43">
        <f t="shared" si="2"/>
        <v>0.5</v>
      </c>
      <c r="AB15" s="44" t="b">
        <f t="shared" si="3"/>
        <v>1</v>
      </c>
      <c r="AC15" s="44" t="b">
        <f t="shared" si="4"/>
        <v>1</v>
      </c>
      <c r="AD15" s="46"/>
    </row>
    <row r="16" spans="1:30" s="45" customFormat="1" ht="37.5" customHeight="1" x14ac:dyDescent="0.25">
      <c r="A16" s="195">
        <v>14</v>
      </c>
      <c r="B16" s="182">
        <v>233</v>
      </c>
      <c r="C16" s="143" t="s">
        <v>299</v>
      </c>
      <c r="D16" s="182" t="s">
        <v>55</v>
      </c>
      <c r="E16" s="182">
        <v>2007</v>
      </c>
      <c r="F16" s="183" t="s">
        <v>273</v>
      </c>
      <c r="G16" s="182" t="s">
        <v>85</v>
      </c>
      <c r="H16" s="187">
        <v>0.6</v>
      </c>
      <c r="I16" s="182" t="s">
        <v>274</v>
      </c>
      <c r="J16" s="240">
        <v>2406000</v>
      </c>
      <c r="K16" s="241">
        <f t="shared" si="0"/>
        <v>1203000</v>
      </c>
      <c r="L16" s="241">
        <f t="shared" si="1"/>
        <v>1203000</v>
      </c>
      <c r="M16" s="186">
        <v>0.5</v>
      </c>
      <c r="N16" s="216">
        <v>0</v>
      </c>
      <c r="O16" s="216">
        <v>0</v>
      </c>
      <c r="P16" s="216">
        <v>0</v>
      </c>
      <c r="Q16" s="216">
        <v>0</v>
      </c>
      <c r="R16" s="216">
        <v>0</v>
      </c>
      <c r="S16" s="216">
        <v>0</v>
      </c>
      <c r="T16" s="216">
        <f>K16</f>
        <v>1203000</v>
      </c>
      <c r="U16" s="216">
        <v>0</v>
      </c>
      <c r="V16" s="216">
        <v>0</v>
      </c>
      <c r="W16" s="216">
        <v>0</v>
      </c>
      <c r="X16" s="216">
        <v>0</v>
      </c>
      <c r="Y16" s="230">
        <v>0</v>
      </c>
      <c r="Z16" s="1" t="b">
        <f t="shared" si="5"/>
        <v>1</v>
      </c>
      <c r="AA16" s="43">
        <f t="shared" si="2"/>
        <v>0.5</v>
      </c>
      <c r="AB16" s="44" t="b">
        <f t="shared" si="3"/>
        <v>1</v>
      </c>
      <c r="AC16" s="44" t="b">
        <f t="shared" si="4"/>
        <v>1</v>
      </c>
      <c r="AD16" s="46"/>
    </row>
    <row r="17" spans="1:30" s="45" customFormat="1" ht="37.5" customHeight="1" x14ac:dyDescent="0.25">
      <c r="A17" s="195">
        <v>15</v>
      </c>
      <c r="B17" s="182">
        <v>235</v>
      </c>
      <c r="C17" s="143" t="s">
        <v>299</v>
      </c>
      <c r="D17" s="182" t="s">
        <v>55</v>
      </c>
      <c r="E17" s="182">
        <v>2007</v>
      </c>
      <c r="F17" s="183" t="s">
        <v>275</v>
      </c>
      <c r="G17" s="182" t="s">
        <v>85</v>
      </c>
      <c r="H17" s="187">
        <v>0.55000000000000004</v>
      </c>
      <c r="I17" s="182" t="s">
        <v>276</v>
      </c>
      <c r="J17" s="240">
        <v>2406000</v>
      </c>
      <c r="K17" s="241">
        <f t="shared" si="0"/>
        <v>1203000</v>
      </c>
      <c r="L17" s="241">
        <f t="shared" si="1"/>
        <v>1203000</v>
      </c>
      <c r="M17" s="186">
        <v>0.5</v>
      </c>
      <c r="N17" s="216">
        <v>0</v>
      </c>
      <c r="O17" s="216">
        <v>0</v>
      </c>
      <c r="P17" s="216">
        <v>0</v>
      </c>
      <c r="Q17" s="216">
        <v>0</v>
      </c>
      <c r="R17" s="216">
        <v>0</v>
      </c>
      <c r="S17" s="216">
        <v>0</v>
      </c>
      <c r="T17" s="216">
        <f>K17</f>
        <v>1203000</v>
      </c>
      <c r="U17" s="216">
        <v>0</v>
      </c>
      <c r="V17" s="216">
        <v>0</v>
      </c>
      <c r="W17" s="216">
        <v>0</v>
      </c>
      <c r="X17" s="216">
        <v>0</v>
      </c>
      <c r="Y17" s="230">
        <v>0</v>
      </c>
      <c r="Z17" s="1" t="b">
        <f t="shared" si="5"/>
        <v>1</v>
      </c>
      <c r="AA17" s="43">
        <f t="shared" si="2"/>
        <v>0.5</v>
      </c>
      <c r="AB17" s="44" t="b">
        <f t="shared" si="3"/>
        <v>1</v>
      </c>
      <c r="AC17" s="44" t="b">
        <f t="shared" si="4"/>
        <v>1</v>
      </c>
      <c r="AD17" s="46"/>
    </row>
    <row r="18" spans="1:30" s="45" customFormat="1" ht="37.5" customHeight="1" x14ac:dyDescent="0.25">
      <c r="A18" s="155">
        <v>16</v>
      </c>
      <c r="B18" s="179">
        <v>320</v>
      </c>
      <c r="C18" s="215" t="s">
        <v>300</v>
      </c>
      <c r="D18" s="179" t="s">
        <v>59</v>
      </c>
      <c r="E18" s="179">
        <v>2011</v>
      </c>
      <c r="F18" s="190" t="s">
        <v>277</v>
      </c>
      <c r="G18" s="179" t="s">
        <v>85</v>
      </c>
      <c r="H18" s="148">
        <v>5.2</v>
      </c>
      <c r="I18" s="179" t="s">
        <v>258</v>
      </c>
      <c r="J18" s="150">
        <v>9600500</v>
      </c>
      <c r="K18" s="157">
        <f t="shared" si="0"/>
        <v>4800250</v>
      </c>
      <c r="L18" s="157">
        <f t="shared" si="1"/>
        <v>4800250</v>
      </c>
      <c r="M18" s="152">
        <v>0.5</v>
      </c>
      <c r="N18" s="153">
        <v>0</v>
      </c>
      <c r="O18" s="153">
        <v>0</v>
      </c>
      <c r="P18" s="153">
        <v>0</v>
      </c>
      <c r="Q18" s="153">
        <v>0</v>
      </c>
      <c r="R18" s="154">
        <v>0</v>
      </c>
      <c r="S18" s="154">
        <v>0</v>
      </c>
      <c r="T18" s="154">
        <v>300250</v>
      </c>
      <c r="U18" s="154">
        <v>3000000</v>
      </c>
      <c r="V18" s="154">
        <v>1500000</v>
      </c>
      <c r="W18" s="154">
        <v>0</v>
      </c>
      <c r="X18" s="154">
        <v>0</v>
      </c>
      <c r="Y18" s="153">
        <v>0</v>
      </c>
      <c r="Z18" s="1" t="b">
        <f t="shared" si="5"/>
        <v>1</v>
      </c>
      <c r="AA18" s="43">
        <f t="shared" si="2"/>
        <v>0.5</v>
      </c>
      <c r="AB18" s="44" t="b">
        <f t="shared" si="3"/>
        <v>1</v>
      </c>
      <c r="AC18" s="44" t="b">
        <f t="shared" si="4"/>
        <v>1</v>
      </c>
      <c r="AD18" s="46"/>
    </row>
    <row r="19" spans="1:30" s="45" customFormat="1" ht="37.5" customHeight="1" x14ac:dyDescent="0.25">
      <c r="A19" s="155">
        <v>17</v>
      </c>
      <c r="B19" s="179">
        <v>305</v>
      </c>
      <c r="C19" s="215" t="s">
        <v>300</v>
      </c>
      <c r="D19" s="179" t="s">
        <v>51</v>
      </c>
      <c r="E19" s="179">
        <v>2006</v>
      </c>
      <c r="F19" s="190" t="s">
        <v>279</v>
      </c>
      <c r="G19" s="179" t="s">
        <v>85</v>
      </c>
      <c r="H19" s="156">
        <v>4.3600000000000003</v>
      </c>
      <c r="I19" s="179" t="s">
        <v>226</v>
      </c>
      <c r="J19" s="150">
        <v>10964890</v>
      </c>
      <c r="K19" s="157">
        <f t="shared" si="0"/>
        <v>5482445</v>
      </c>
      <c r="L19" s="157">
        <f t="shared" si="1"/>
        <v>5482445</v>
      </c>
      <c r="M19" s="152">
        <v>0.5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1827481.67</v>
      </c>
      <c r="U19" s="154">
        <v>1827481.67</v>
      </c>
      <c r="V19" s="154">
        <v>1827481.66</v>
      </c>
      <c r="W19" s="154">
        <v>0</v>
      </c>
      <c r="X19" s="154">
        <v>0</v>
      </c>
      <c r="Y19" s="153">
        <v>0</v>
      </c>
      <c r="Z19" s="1" t="b">
        <f t="shared" si="5"/>
        <v>1</v>
      </c>
      <c r="AA19" s="43">
        <f t="shared" si="2"/>
        <v>0.5</v>
      </c>
      <c r="AB19" s="44" t="b">
        <f t="shared" si="3"/>
        <v>1</v>
      </c>
      <c r="AC19" s="44" t="b">
        <f t="shared" si="4"/>
        <v>1</v>
      </c>
      <c r="AD19" s="46"/>
    </row>
    <row r="20" spans="1:30" s="45" customFormat="1" ht="37.5" customHeight="1" x14ac:dyDescent="0.25">
      <c r="A20" s="195">
        <v>18</v>
      </c>
      <c r="B20" s="182">
        <v>244</v>
      </c>
      <c r="C20" s="143" t="s">
        <v>299</v>
      </c>
      <c r="D20" s="182" t="s">
        <v>55</v>
      </c>
      <c r="E20" s="182">
        <v>2007</v>
      </c>
      <c r="F20" s="183" t="s">
        <v>280</v>
      </c>
      <c r="G20" s="182" t="s">
        <v>83</v>
      </c>
      <c r="H20" s="187">
        <v>2.7</v>
      </c>
      <c r="I20" s="182" t="s">
        <v>276</v>
      </c>
      <c r="J20" s="240">
        <v>11210000</v>
      </c>
      <c r="K20" s="241">
        <f t="shared" si="0"/>
        <v>5605000</v>
      </c>
      <c r="L20" s="241">
        <f t="shared" si="1"/>
        <v>5605000</v>
      </c>
      <c r="M20" s="186">
        <v>0.5</v>
      </c>
      <c r="N20" s="216">
        <v>0</v>
      </c>
      <c r="O20" s="216">
        <v>0</v>
      </c>
      <c r="P20" s="216">
        <v>0</v>
      </c>
      <c r="Q20" s="216">
        <v>0</v>
      </c>
      <c r="R20" s="216">
        <v>0</v>
      </c>
      <c r="S20" s="216">
        <v>0</v>
      </c>
      <c r="T20" s="216">
        <f>K20</f>
        <v>5605000</v>
      </c>
      <c r="U20" s="216">
        <v>0</v>
      </c>
      <c r="V20" s="216">
        <v>0</v>
      </c>
      <c r="W20" s="216">
        <v>0</v>
      </c>
      <c r="X20" s="216">
        <v>0</v>
      </c>
      <c r="Y20" s="230">
        <v>0</v>
      </c>
      <c r="Z20" s="1" t="b">
        <f t="shared" si="5"/>
        <v>1</v>
      </c>
      <c r="AA20" s="43">
        <f t="shared" si="2"/>
        <v>0.5</v>
      </c>
      <c r="AB20" s="44" t="b">
        <f t="shared" si="3"/>
        <v>1</v>
      </c>
      <c r="AC20" s="44" t="b">
        <f t="shared" si="4"/>
        <v>1</v>
      </c>
      <c r="AD20" s="46"/>
    </row>
    <row r="21" spans="1:30" s="45" customFormat="1" ht="37.5" customHeight="1" x14ac:dyDescent="0.25">
      <c r="A21" s="155">
        <v>19</v>
      </c>
      <c r="B21" s="179">
        <v>325</v>
      </c>
      <c r="C21" s="215" t="s">
        <v>300</v>
      </c>
      <c r="D21" s="179" t="s">
        <v>59</v>
      </c>
      <c r="E21" s="179">
        <v>2011</v>
      </c>
      <c r="F21" s="190" t="s">
        <v>281</v>
      </c>
      <c r="G21" s="179" t="s">
        <v>85</v>
      </c>
      <c r="H21" s="148">
        <v>2.62</v>
      </c>
      <c r="I21" s="179" t="s">
        <v>258</v>
      </c>
      <c r="J21" s="150">
        <v>4741100</v>
      </c>
      <c r="K21" s="157">
        <f t="shared" si="0"/>
        <v>2370550</v>
      </c>
      <c r="L21" s="157">
        <f t="shared" si="1"/>
        <v>2370550</v>
      </c>
      <c r="M21" s="152">
        <v>0.5</v>
      </c>
      <c r="N21" s="153">
        <v>0</v>
      </c>
      <c r="O21" s="153">
        <v>0</v>
      </c>
      <c r="P21" s="153">
        <v>0</v>
      </c>
      <c r="Q21" s="153">
        <v>0</v>
      </c>
      <c r="R21" s="154">
        <v>0</v>
      </c>
      <c r="S21" s="154">
        <v>0</v>
      </c>
      <c r="T21" s="154">
        <v>500000</v>
      </c>
      <c r="U21" s="154">
        <v>1000000</v>
      </c>
      <c r="V21" s="154">
        <v>870550</v>
      </c>
      <c r="W21" s="154">
        <v>0</v>
      </c>
      <c r="X21" s="154">
        <v>0</v>
      </c>
      <c r="Y21" s="153">
        <v>0</v>
      </c>
      <c r="Z21" s="1" t="b">
        <f t="shared" si="5"/>
        <v>1</v>
      </c>
      <c r="AA21" s="43">
        <f t="shared" si="2"/>
        <v>0.5</v>
      </c>
      <c r="AB21" s="44" t="b">
        <f t="shared" si="3"/>
        <v>1</v>
      </c>
      <c r="AC21" s="44" t="b">
        <f t="shared" si="4"/>
        <v>1</v>
      </c>
      <c r="AD21" s="46"/>
    </row>
    <row r="22" spans="1:30" s="45" customFormat="1" ht="37.5" customHeight="1" x14ac:dyDescent="0.25">
      <c r="A22" s="155">
        <v>20</v>
      </c>
      <c r="B22" s="179">
        <v>188</v>
      </c>
      <c r="C22" s="215" t="s">
        <v>300</v>
      </c>
      <c r="D22" s="179" t="s">
        <v>61</v>
      </c>
      <c r="E22" s="179">
        <v>2013</v>
      </c>
      <c r="F22" s="190" t="s">
        <v>282</v>
      </c>
      <c r="G22" s="179" t="s">
        <v>87</v>
      </c>
      <c r="H22" s="156">
        <v>2.59</v>
      </c>
      <c r="I22" s="179" t="s">
        <v>256</v>
      </c>
      <c r="J22" s="157">
        <v>4014874</v>
      </c>
      <c r="K22" s="157">
        <f t="shared" si="0"/>
        <v>2007437</v>
      </c>
      <c r="L22" s="157">
        <f t="shared" si="1"/>
        <v>2007437</v>
      </c>
      <c r="M22" s="152">
        <v>0.5</v>
      </c>
      <c r="N22" s="153">
        <v>0</v>
      </c>
      <c r="O22" s="153">
        <v>0</v>
      </c>
      <c r="P22" s="153">
        <v>0</v>
      </c>
      <c r="Q22" s="153">
        <v>0</v>
      </c>
      <c r="R22" s="154">
        <v>0</v>
      </c>
      <c r="S22" s="154">
        <v>0</v>
      </c>
      <c r="T22" s="154">
        <v>752000</v>
      </c>
      <c r="U22" s="154">
        <v>10000</v>
      </c>
      <c r="V22" s="154">
        <v>1245437</v>
      </c>
      <c r="W22" s="154">
        <v>0</v>
      </c>
      <c r="X22" s="154">
        <v>0</v>
      </c>
      <c r="Y22" s="153">
        <v>0</v>
      </c>
      <c r="Z22" s="1" t="b">
        <f t="shared" si="5"/>
        <v>1</v>
      </c>
      <c r="AA22" s="43">
        <f t="shared" si="2"/>
        <v>0.5</v>
      </c>
      <c r="AB22" s="44" t="b">
        <f t="shared" si="3"/>
        <v>1</v>
      </c>
      <c r="AC22" s="44" t="b">
        <f t="shared" si="4"/>
        <v>1</v>
      </c>
      <c r="AD22" s="46"/>
    </row>
    <row r="23" spans="1:30" s="45" customFormat="1" ht="37.5" customHeight="1" x14ac:dyDescent="0.25">
      <c r="A23" s="155">
        <v>21</v>
      </c>
      <c r="B23" s="179">
        <v>243</v>
      </c>
      <c r="C23" s="215" t="s">
        <v>300</v>
      </c>
      <c r="D23" s="179" t="s">
        <v>55</v>
      </c>
      <c r="E23" s="179">
        <v>2007</v>
      </c>
      <c r="F23" s="190" t="s">
        <v>283</v>
      </c>
      <c r="G23" s="179" t="s">
        <v>83</v>
      </c>
      <c r="H23" s="156">
        <v>2.5</v>
      </c>
      <c r="I23" s="179" t="s">
        <v>284</v>
      </c>
      <c r="J23" s="150">
        <v>9006000</v>
      </c>
      <c r="K23" s="157">
        <f t="shared" si="0"/>
        <v>4503000</v>
      </c>
      <c r="L23" s="157">
        <f t="shared" si="1"/>
        <v>4503000</v>
      </c>
      <c r="M23" s="152">
        <v>0.5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2500</v>
      </c>
      <c r="U23" s="154">
        <v>50000</v>
      </c>
      <c r="V23" s="154">
        <v>4450500</v>
      </c>
      <c r="W23" s="154">
        <v>0</v>
      </c>
      <c r="X23" s="154">
        <v>0</v>
      </c>
      <c r="Y23" s="153">
        <v>0</v>
      </c>
      <c r="Z23" s="1" t="b">
        <f t="shared" si="5"/>
        <v>1</v>
      </c>
      <c r="AA23" s="43">
        <f t="shared" si="2"/>
        <v>0.5</v>
      </c>
      <c r="AB23" s="44" t="b">
        <f t="shared" si="3"/>
        <v>1</v>
      </c>
      <c r="AC23" s="44" t="b">
        <f t="shared" si="4"/>
        <v>1</v>
      </c>
      <c r="AD23" s="46"/>
    </row>
    <row r="24" spans="1:30" s="45" customFormat="1" ht="37.5" customHeight="1" x14ac:dyDescent="0.25">
      <c r="A24" s="155">
        <v>22</v>
      </c>
      <c r="B24" s="179">
        <v>330</v>
      </c>
      <c r="C24" s="215" t="s">
        <v>300</v>
      </c>
      <c r="D24" s="179" t="s">
        <v>59</v>
      </c>
      <c r="E24" s="179">
        <v>2011</v>
      </c>
      <c r="F24" s="190" t="s">
        <v>285</v>
      </c>
      <c r="G24" s="179" t="s">
        <v>85</v>
      </c>
      <c r="H24" s="156">
        <v>2.4500000000000002</v>
      </c>
      <c r="I24" s="179" t="s">
        <v>258</v>
      </c>
      <c r="J24" s="251">
        <v>4941100</v>
      </c>
      <c r="K24" s="157">
        <f t="shared" si="0"/>
        <v>2470550</v>
      </c>
      <c r="L24" s="157">
        <f t="shared" si="1"/>
        <v>2470550</v>
      </c>
      <c r="M24" s="152">
        <v>0.5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4">
        <v>470550</v>
      </c>
      <c r="U24" s="154">
        <v>1000000</v>
      </c>
      <c r="V24" s="154">
        <v>1000000</v>
      </c>
      <c r="W24" s="154">
        <v>0</v>
      </c>
      <c r="X24" s="154">
        <v>0</v>
      </c>
      <c r="Y24" s="153">
        <v>0</v>
      </c>
      <c r="Z24" s="1" t="b">
        <f t="shared" si="5"/>
        <v>1</v>
      </c>
      <c r="AA24" s="43">
        <f t="shared" si="2"/>
        <v>0.5</v>
      </c>
      <c r="AB24" s="44" t="b">
        <f t="shared" si="3"/>
        <v>1</v>
      </c>
      <c r="AC24" s="44" t="b">
        <f t="shared" si="4"/>
        <v>1</v>
      </c>
      <c r="AD24" s="46"/>
    </row>
    <row r="25" spans="1:30" s="45" customFormat="1" ht="37.5" customHeight="1" x14ac:dyDescent="0.25">
      <c r="A25" s="155">
        <v>23</v>
      </c>
      <c r="B25" s="179">
        <v>302</v>
      </c>
      <c r="C25" s="215" t="s">
        <v>300</v>
      </c>
      <c r="D25" s="179" t="s">
        <v>51</v>
      </c>
      <c r="E25" s="179">
        <v>2003</v>
      </c>
      <c r="F25" s="190" t="s">
        <v>286</v>
      </c>
      <c r="G25" s="179" t="s">
        <v>85</v>
      </c>
      <c r="H25" s="156">
        <v>1.8</v>
      </c>
      <c r="I25" s="179" t="s">
        <v>287</v>
      </c>
      <c r="J25" s="150">
        <v>8370000</v>
      </c>
      <c r="K25" s="157">
        <f t="shared" si="0"/>
        <v>4185000</v>
      </c>
      <c r="L25" s="157">
        <f t="shared" si="1"/>
        <v>4185000</v>
      </c>
      <c r="M25" s="152">
        <v>0.5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1395000</v>
      </c>
      <c r="U25" s="154">
        <v>1395000</v>
      </c>
      <c r="V25" s="154">
        <v>1395000</v>
      </c>
      <c r="W25" s="154">
        <v>0</v>
      </c>
      <c r="X25" s="154">
        <v>0</v>
      </c>
      <c r="Y25" s="153">
        <v>0</v>
      </c>
      <c r="Z25" s="1" t="b">
        <f t="shared" si="5"/>
        <v>1</v>
      </c>
      <c r="AA25" s="43">
        <f t="shared" si="2"/>
        <v>0.5</v>
      </c>
      <c r="AB25" s="44" t="b">
        <f t="shared" si="3"/>
        <v>1</v>
      </c>
      <c r="AC25" s="44" t="b">
        <f t="shared" si="4"/>
        <v>1</v>
      </c>
      <c r="AD25" s="46"/>
    </row>
    <row r="26" spans="1:30" s="45" customFormat="1" ht="37.5" customHeight="1" x14ac:dyDescent="0.25">
      <c r="A26" s="195">
        <v>24</v>
      </c>
      <c r="B26" s="182">
        <v>34</v>
      </c>
      <c r="C26" s="143" t="s">
        <v>299</v>
      </c>
      <c r="D26" s="182" t="s">
        <v>56</v>
      </c>
      <c r="E26" s="182">
        <v>2008</v>
      </c>
      <c r="F26" s="183" t="s">
        <v>288</v>
      </c>
      <c r="G26" s="182" t="s">
        <v>85</v>
      </c>
      <c r="H26" s="187">
        <v>1.611</v>
      </c>
      <c r="I26" s="182" t="s">
        <v>228</v>
      </c>
      <c r="J26" s="240">
        <v>5003500</v>
      </c>
      <c r="K26" s="241">
        <f t="shared" si="0"/>
        <v>2501750</v>
      </c>
      <c r="L26" s="241">
        <f t="shared" si="1"/>
        <v>2501750</v>
      </c>
      <c r="M26" s="186">
        <v>0.5</v>
      </c>
      <c r="N26" s="230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16">
        <f t="shared" ref="T26:T32" si="6">K26</f>
        <v>2501750</v>
      </c>
      <c r="U26" s="216">
        <v>0</v>
      </c>
      <c r="V26" s="216">
        <v>0</v>
      </c>
      <c r="W26" s="216">
        <v>0</v>
      </c>
      <c r="X26" s="216">
        <v>0</v>
      </c>
      <c r="Y26" s="230">
        <v>0</v>
      </c>
      <c r="Z26" s="1" t="b">
        <f t="shared" si="5"/>
        <v>1</v>
      </c>
      <c r="AA26" s="43">
        <f t="shared" si="2"/>
        <v>0.5</v>
      </c>
      <c r="AB26" s="44" t="b">
        <f t="shared" si="3"/>
        <v>1</v>
      </c>
      <c r="AC26" s="44" t="b">
        <f t="shared" si="4"/>
        <v>1</v>
      </c>
      <c r="AD26" s="46"/>
    </row>
    <row r="27" spans="1:30" s="45" customFormat="1" ht="37.5" customHeight="1" x14ac:dyDescent="0.25">
      <c r="A27" s="195">
        <v>25</v>
      </c>
      <c r="B27" s="182">
        <v>119</v>
      </c>
      <c r="C27" s="143" t="s">
        <v>299</v>
      </c>
      <c r="D27" s="182" t="s">
        <v>50</v>
      </c>
      <c r="E27" s="182">
        <v>2002</v>
      </c>
      <c r="F27" s="183" t="s">
        <v>289</v>
      </c>
      <c r="G27" s="182" t="s">
        <v>85</v>
      </c>
      <c r="H27" s="187">
        <v>1.5629999999999999</v>
      </c>
      <c r="I27" s="182" t="s">
        <v>213</v>
      </c>
      <c r="J27" s="240">
        <v>9863713.0999999996</v>
      </c>
      <c r="K27" s="241">
        <f t="shared" si="0"/>
        <v>4931856.55</v>
      </c>
      <c r="L27" s="241">
        <f t="shared" si="1"/>
        <v>4931856.55</v>
      </c>
      <c r="M27" s="186">
        <v>0.5</v>
      </c>
      <c r="N27" s="216"/>
      <c r="O27" s="216">
        <v>0</v>
      </c>
      <c r="P27" s="216">
        <v>0</v>
      </c>
      <c r="Q27" s="216">
        <v>0</v>
      </c>
      <c r="R27" s="216">
        <v>0</v>
      </c>
      <c r="S27" s="216">
        <v>0</v>
      </c>
      <c r="T27" s="216">
        <f t="shared" si="6"/>
        <v>4931856.55</v>
      </c>
      <c r="U27" s="216">
        <v>0</v>
      </c>
      <c r="V27" s="216">
        <v>0</v>
      </c>
      <c r="W27" s="216">
        <v>0</v>
      </c>
      <c r="X27" s="216">
        <v>0</v>
      </c>
      <c r="Y27" s="230">
        <v>0</v>
      </c>
      <c r="Z27" s="1" t="b">
        <f t="shared" si="5"/>
        <v>1</v>
      </c>
      <c r="AA27" s="43">
        <f t="shared" si="2"/>
        <v>0.5</v>
      </c>
      <c r="AB27" s="44" t="b">
        <f t="shared" si="3"/>
        <v>1</v>
      </c>
      <c r="AC27" s="44" t="b">
        <f t="shared" si="4"/>
        <v>1</v>
      </c>
      <c r="AD27" s="46"/>
    </row>
    <row r="28" spans="1:30" s="45" customFormat="1" ht="37.5" customHeight="1" x14ac:dyDescent="0.25">
      <c r="A28" s="195">
        <v>26</v>
      </c>
      <c r="B28" s="182">
        <v>380</v>
      </c>
      <c r="C28" s="143" t="s">
        <v>299</v>
      </c>
      <c r="D28" s="182" t="s">
        <v>52</v>
      </c>
      <c r="E28" s="182">
        <v>2004</v>
      </c>
      <c r="F28" s="183" t="s">
        <v>290</v>
      </c>
      <c r="G28" s="182" t="s">
        <v>85</v>
      </c>
      <c r="H28" s="187">
        <v>1.1000000000000001</v>
      </c>
      <c r="I28" s="201" t="s">
        <v>291</v>
      </c>
      <c r="J28" s="240">
        <v>2893000</v>
      </c>
      <c r="K28" s="241">
        <f t="shared" si="0"/>
        <v>1446500</v>
      </c>
      <c r="L28" s="241">
        <f t="shared" si="1"/>
        <v>1446500</v>
      </c>
      <c r="M28" s="186">
        <v>0.5</v>
      </c>
      <c r="N28" s="216">
        <v>0</v>
      </c>
      <c r="O28" s="216">
        <v>0</v>
      </c>
      <c r="P28" s="216">
        <v>0</v>
      </c>
      <c r="Q28" s="216">
        <v>0</v>
      </c>
      <c r="R28" s="216">
        <v>0</v>
      </c>
      <c r="S28" s="216">
        <v>0</v>
      </c>
      <c r="T28" s="216">
        <f t="shared" si="6"/>
        <v>1446500</v>
      </c>
      <c r="U28" s="216">
        <v>0</v>
      </c>
      <c r="V28" s="216">
        <v>0</v>
      </c>
      <c r="W28" s="216">
        <v>0</v>
      </c>
      <c r="X28" s="216">
        <v>0</v>
      </c>
      <c r="Y28" s="230">
        <v>0</v>
      </c>
      <c r="Z28" s="1" t="b">
        <f t="shared" si="5"/>
        <v>1</v>
      </c>
      <c r="AA28" s="43">
        <f t="shared" si="2"/>
        <v>0.5</v>
      </c>
      <c r="AB28" s="44" t="b">
        <f t="shared" si="3"/>
        <v>1</v>
      </c>
      <c r="AC28" s="44" t="b">
        <f t="shared" si="4"/>
        <v>1</v>
      </c>
      <c r="AD28" s="46"/>
    </row>
    <row r="29" spans="1:30" s="45" customFormat="1" ht="37.5" customHeight="1" x14ac:dyDescent="0.25">
      <c r="A29" s="195">
        <v>27</v>
      </c>
      <c r="B29" s="182">
        <v>114</v>
      </c>
      <c r="C29" s="143" t="s">
        <v>299</v>
      </c>
      <c r="D29" s="182" t="s">
        <v>50</v>
      </c>
      <c r="E29" s="182">
        <v>2002</v>
      </c>
      <c r="F29" s="183" t="s">
        <v>292</v>
      </c>
      <c r="G29" s="184" t="s">
        <v>85</v>
      </c>
      <c r="H29" s="185">
        <v>0.89300000000000002</v>
      </c>
      <c r="I29" s="182" t="s">
        <v>213</v>
      </c>
      <c r="J29" s="240">
        <v>4366623.8</v>
      </c>
      <c r="K29" s="241">
        <f t="shared" si="0"/>
        <v>2183311.9</v>
      </c>
      <c r="L29" s="241">
        <f t="shared" si="1"/>
        <v>2183311.9</v>
      </c>
      <c r="M29" s="186">
        <v>0.5</v>
      </c>
      <c r="N29" s="216">
        <v>0</v>
      </c>
      <c r="O29" s="216">
        <v>0</v>
      </c>
      <c r="P29" s="216">
        <v>0</v>
      </c>
      <c r="Q29" s="216">
        <v>0</v>
      </c>
      <c r="R29" s="216">
        <v>0</v>
      </c>
      <c r="S29" s="216">
        <v>0</v>
      </c>
      <c r="T29" s="216">
        <f t="shared" si="6"/>
        <v>2183311.9</v>
      </c>
      <c r="U29" s="216">
        <v>0</v>
      </c>
      <c r="V29" s="216">
        <v>0</v>
      </c>
      <c r="W29" s="216">
        <v>0</v>
      </c>
      <c r="X29" s="216">
        <v>0</v>
      </c>
      <c r="Y29" s="230">
        <v>0</v>
      </c>
      <c r="Z29" s="1" t="b">
        <f t="shared" si="5"/>
        <v>1</v>
      </c>
      <c r="AA29" s="43">
        <f t="shared" si="2"/>
        <v>0.5</v>
      </c>
      <c r="AB29" s="44" t="b">
        <f t="shared" si="3"/>
        <v>1</v>
      </c>
      <c r="AC29" s="44" t="b">
        <f t="shared" si="4"/>
        <v>1</v>
      </c>
      <c r="AD29" s="46"/>
    </row>
    <row r="30" spans="1:30" s="45" customFormat="1" ht="37.5" customHeight="1" x14ac:dyDescent="0.25">
      <c r="A30" s="195">
        <v>28</v>
      </c>
      <c r="B30" s="182">
        <v>193</v>
      </c>
      <c r="C30" s="143" t="s">
        <v>299</v>
      </c>
      <c r="D30" s="182" t="s">
        <v>61</v>
      </c>
      <c r="E30" s="182">
        <v>2013</v>
      </c>
      <c r="F30" s="183" t="s">
        <v>293</v>
      </c>
      <c r="G30" s="182" t="s">
        <v>87</v>
      </c>
      <c r="H30" s="185">
        <v>0.71499999999999997</v>
      </c>
      <c r="I30" s="182" t="s">
        <v>301</v>
      </c>
      <c r="J30" s="241">
        <v>2111249</v>
      </c>
      <c r="K30" s="241">
        <f t="shared" si="0"/>
        <v>1055624.5</v>
      </c>
      <c r="L30" s="241">
        <f t="shared" si="1"/>
        <v>1055624.5</v>
      </c>
      <c r="M30" s="186">
        <v>0.5</v>
      </c>
      <c r="N30" s="230">
        <v>0</v>
      </c>
      <c r="O30" s="230">
        <v>0</v>
      </c>
      <c r="P30" s="230">
        <v>0</v>
      </c>
      <c r="Q30" s="230">
        <v>0</v>
      </c>
      <c r="R30" s="216">
        <v>0</v>
      </c>
      <c r="S30" s="216">
        <v>0</v>
      </c>
      <c r="T30" s="216">
        <f t="shared" si="6"/>
        <v>1055624.5</v>
      </c>
      <c r="U30" s="216">
        <v>0</v>
      </c>
      <c r="V30" s="216">
        <v>0</v>
      </c>
      <c r="W30" s="216">
        <v>0</v>
      </c>
      <c r="X30" s="216">
        <v>0</v>
      </c>
      <c r="Y30" s="230">
        <v>0</v>
      </c>
      <c r="Z30" s="1" t="b">
        <f t="shared" si="5"/>
        <v>1</v>
      </c>
      <c r="AA30" s="43">
        <f t="shared" si="2"/>
        <v>0.5</v>
      </c>
      <c r="AB30" s="44" t="b">
        <f t="shared" si="3"/>
        <v>1</v>
      </c>
      <c r="AC30" s="44" t="b">
        <f t="shared" si="4"/>
        <v>1</v>
      </c>
      <c r="AD30" s="46"/>
    </row>
    <row r="31" spans="1:30" s="45" customFormat="1" ht="37.5" customHeight="1" x14ac:dyDescent="0.25">
      <c r="A31" s="195">
        <v>29</v>
      </c>
      <c r="B31" s="182">
        <v>120</v>
      </c>
      <c r="C31" s="143" t="s">
        <v>299</v>
      </c>
      <c r="D31" s="182" t="s">
        <v>62</v>
      </c>
      <c r="E31" s="182">
        <v>2014</v>
      </c>
      <c r="F31" s="183" t="s">
        <v>294</v>
      </c>
      <c r="G31" s="182" t="s">
        <v>83</v>
      </c>
      <c r="H31" s="187">
        <v>0.62</v>
      </c>
      <c r="I31" s="182" t="s">
        <v>221</v>
      </c>
      <c r="J31" s="240">
        <v>3021000</v>
      </c>
      <c r="K31" s="241">
        <f t="shared" si="0"/>
        <v>1510500</v>
      </c>
      <c r="L31" s="241">
        <f t="shared" si="1"/>
        <v>1510500</v>
      </c>
      <c r="M31" s="186">
        <v>0.5</v>
      </c>
      <c r="N31" s="216">
        <v>0</v>
      </c>
      <c r="O31" s="216">
        <v>0</v>
      </c>
      <c r="P31" s="216">
        <v>0</v>
      </c>
      <c r="Q31" s="216">
        <v>0</v>
      </c>
      <c r="R31" s="216">
        <v>0</v>
      </c>
      <c r="S31" s="216">
        <v>0</v>
      </c>
      <c r="T31" s="216">
        <f t="shared" si="6"/>
        <v>1510500</v>
      </c>
      <c r="U31" s="216">
        <v>0</v>
      </c>
      <c r="V31" s="216">
        <v>0</v>
      </c>
      <c r="W31" s="216">
        <v>0</v>
      </c>
      <c r="X31" s="216">
        <v>0</v>
      </c>
      <c r="Y31" s="230">
        <v>0</v>
      </c>
      <c r="Z31" s="1" t="b">
        <f t="shared" si="5"/>
        <v>1</v>
      </c>
      <c r="AA31" s="43">
        <f t="shared" si="2"/>
        <v>0.5</v>
      </c>
      <c r="AB31" s="44" t="b">
        <f t="shared" si="3"/>
        <v>1</v>
      </c>
      <c r="AC31" s="44" t="b">
        <f t="shared" si="4"/>
        <v>1</v>
      </c>
      <c r="AD31" s="46"/>
    </row>
    <row r="32" spans="1:30" s="45" customFormat="1" ht="37.5" customHeight="1" x14ac:dyDescent="0.25">
      <c r="A32" s="195">
        <v>30</v>
      </c>
      <c r="B32" s="182">
        <v>381</v>
      </c>
      <c r="C32" s="143" t="s">
        <v>299</v>
      </c>
      <c r="D32" s="182" t="s">
        <v>52</v>
      </c>
      <c r="E32" s="182">
        <v>2004</v>
      </c>
      <c r="F32" s="183" t="s">
        <v>295</v>
      </c>
      <c r="G32" s="182" t="s">
        <v>83</v>
      </c>
      <c r="H32" s="185">
        <v>0.57199999999999995</v>
      </c>
      <c r="I32" s="182" t="s">
        <v>296</v>
      </c>
      <c r="J32" s="250">
        <v>3672930.45</v>
      </c>
      <c r="K32" s="241">
        <f t="shared" si="0"/>
        <v>1836465.22</v>
      </c>
      <c r="L32" s="241">
        <f t="shared" si="1"/>
        <v>1836465.2300000002</v>
      </c>
      <c r="M32" s="186">
        <v>0.5</v>
      </c>
      <c r="N32" s="230">
        <v>0</v>
      </c>
      <c r="O32" s="230">
        <v>0</v>
      </c>
      <c r="P32" s="230">
        <v>0</v>
      </c>
      <c r="Q32" s="230">
        <v>0</v>
      </c>
      <c r="R32" s="230">
        <v>0</v>
      </c>
      <c r="S32" s="230">
        <v>0</v>
      </c>
      <c r="T32" s="216">
        <f t="shared" si="6"/>
        <v>1836465.22</v>
      </c>
      <c r="U32" s="216">
        <v>0</v>
      </c>
      <c r="V32" s="216">
        <v>0</v>
      </c>
      <c r="W32" s="216">
        <v>0</v>
      </c>
      <c r="X32" s="216">
        <v>0</v>
      </c>
      <c r="Y32" s="230">
        <v>0</v>
      </c>
      <c r="Z32" s="1" t="b">
        <f t="shared" si="5"/>
        <v>1</v>
      </c>
      <c r="AA32" s="43">
        <f t="shared" si="2"/>
        <v>0.5</v>
      </c>
      <c r="AB32" s="44" t="b">
        <f t="shared" si="3"/>
        <v>1</v>
      </c>
      <c r="AC32" s="44" t="b">
        <f t="shared" si="4"/>
        <v>1</v>
      </c>
      <c r="AD32" s="46"/>
    </row>
    <row r="33" spans="1:30" s="45" customFormat="1" ht="37.5" customHeight="1" x14ac:dyDescent="0.25">
      <c r="A33" s="155">
        <v>31</v>
      </c>
      <c r="B33" s="179">
        <v>321</v>
      </c>
      <c r="C33" s="217" t="s">
        <v>300</v>
      </c>
      <c r="D33" s="179" t="s">
        <v>59</v>
      </c>
      <c r="E33" s="179">
        <v>2011</v>
      </c>
      <c r="F33" s="190" t="s">
        <v>298</v>
      </c>
      <c r="G33" s="179" t="s">
        <v>85</v>
      </c>
      <c r="H33" s="148">
        <v>7.133</v>
      </c>
      <c r="I33" s="179" t="s">
        <v>278</v>
      </c>
      <c r="J33" s="157">
        <v>15812500</v>
      </c>
      <c r="K33" s="157">
        <f>ROUNDDOWN(J33*M33,2)</f>
        <v>7906250</v>
      </c>
      <c r="L33" s="157">
        <f t="shared" si="1"/>
        <v>7906250</v>
      </c>
      <c r="M33" s="152">
        <v>0.5</v>
      </c>
      <c r="N33" s="153">
        <v>0</v>
      </c>
      <c r="O33" s="153">
        <v>0</v>
      </c>
      <c r="P33" s="153">
        <v>0</v>
      </c>
      <c r="Q33" s="153">
        <v>0</v>
      </c>
      <c r="R33" s="154">
        <v>0</v>
      </c>
      <c r="S33" s="154">
        <v>0</v>
      </c>
      <c r="T33" s="154">
        <v>2000000</v>
      </c>
      <c r="U33" s="154">
        <v>3000000</v>
      </c>
      <c r="V33" s="154">
        <v>2906250</v>
      </c>
      <c r="W33" s="154">
        <v>0</v>
      </c>
      <c r="X33" s="154">
        <v>0</v>
      </c>
      <c r="Y33" s="153">
        <v>0</v>
      </c>
      <c r="Z33" s="1" t="b">
        <f t="shared" si="5"/>
        <v>1</v>
      </c>
      <c r="AA33" s="43">
        <f t="shared" si="2"/>
        <v>0.5</v>
      </c>
      <c r="AB33" s="44" t="b">
        <f t="shared" si="3"/>
        <v>1</v>
      </c>
      <c r="AC33" s="44" t="b">
        <f t="shared" si="4"/>
        <v>1</v>
      </c>
      <c r="AD33" s="46"/>
    </row>
    <row r="34" spans="1:30" s="45" customFormat="1" ht="37.5" customHeight="1" x14ac:dyDescent="0.25">
      <c r="A34" s="297" t="s">
        <v>504</v>
      </c>
      <c r="B34" s="179">
        <v>153</v>
      </c>
      <c r="C34" s="179" t="s">
        <v>300</v>
      </c>
      <c r="D34" s="179" t="s">
        <v>58</v>
      </c>
      <c r="E34" s="179">
        <v>2010</v>
      </c>
      <c r="F34" s="190" t="s">
        <v>501</v>
      </c>
      <c r="G34" s="179" t="s">
        <v>83</v>
      </c>
      <c r="H34" s="148">
        <v>4.5330000000000004</v>
      </c>
      <c r="I34" s="179" t="s">
        <v>241</v>
      </c>
      <c r="J34" s="150">
        <v>9118847.0999999996</v>
      </c>
      <c r="K34" s="157">
        <f>ROUNDDOWN(J34*M34,2)-1091125.58</f>
        <v>3468297.9699999997</v>
      </c>
      <c r="L34" s="157">
        <f t="shared" si="1"/>
        <v>5650549.1299999999</v>
      </c>
      <c r="M34" s="152">
        <v>0.5</v>
      </c>
      <c r="N34" s="153">
        <v>0</v>
      </c>
      <c r="O34" s="153">
        <v>0</v>
      </c>
      <c r="P34" s="153">
        <v>0</v>
      </c>
      <c r="Q34" s="153">
        <v>0</v>
      </c>
      <c r="R34" s="154">
        <v>0</v>
      </c>
      <c r="S34" s="154">
        <v>0</v>
      </c>
      <c r="T34" s="154">
        <f>1823321.2-1091125.58</f>
        <v>732195.61999999988</v>
      </c>
      <c r="U34" s="154">
        <v>2736102.35</v>
      </c>
      <c r="V34" s="154">
        <v>0</v>
      </c>
      <c r="W34" s="154">
        <v>0</v>
      </c>
      <c r="X34" s="154">
        <v>0</v>
      </c>
      <c r="Y34" s="153">
        <v>0</v>
      </c>
      <c r="Z34" s="1" t="b">
        <f t="shared" si="5"/>
        <v>1</v>
      </c>
      <c r="AA34" s="43">
        <f t="shared" ref="AA34" si="7">ROUND(K34/J34,4)</f>
        <v>0.38030000000000003</v>
      </c>
      <c r="AB34" s="44" t="b">
        <f t="shared" ref="AB34" si="8">AA34=M34</f>
        <v>0</v>
      </c>
      <c r="AC34" s="44" t="b">
        <f t="shared" ref="AC34" si="9">J34=K34+L34</f>
        <v>1</v>
      </c>
      <c r="AD34" s="46"/>
    </row>
    <row r="35" spans="1:30" ht="20.100000000000001" customHeight="1" x14ac:dyDescent="0.25">
      <c r="A35" s="370" t="s">
        <v>44</v>
      </c>
      <c r="B35" s="370"/>
      <c r="C35" s="370"/>
      <c r="D35" s="370"/>
      <c r="E35" s="370"/>
      <c r="F35" s="370"/>
      <c r="G35" s="370"/>
      <c r="H35" s="220">
        <f>SUM(H3:H34)</f>
        <v>77.486000000000018</v>
      </c>
      <c r="I35" s="221" t="s">
        <v>14</v>
      </c>
      <c r="J35" s="222">
        <f>SUM(J3:J34)</f>
        <v>257369686.64999998</v>
      </c>
      <c r="K35" s="223">
        <f>SUM(K3:K34)</f>
        <v>127593717.73999999</v>
      </c>
      <c r="L35" s="223">
        <f>SUM(L3:L34)</f>
        <v>129775968.91</v>
      </c>
      <c r="M35" s="224" t="s">
        <v>14</v>
      </c>
      <c r="N35" s="226">
        <f t="shared" ref="N35:Y35" si="10">SUM(N3:N34)</f>
        <v>0</v>
      </c>
      <c r="O35" s="226">
        <f t="shared" si="10"/>
        <v>0</v>
      </c>
      <c r="P35" s="226">
        <f t="shared" si="10"/>
        <v>0</v>
      </c>
      <c r="Q35" s="226">
        <f t="shared" si="10"/>
        <v>0</v>
      </c>
      <c r="R35" s="226">
        <f t="shared" si="10"/>
        <v>0</v>
      </c>
      <c r="S35" s="226">
        <f t="shared" si="10"/>
        <v>0</v>
      </c>
      <c r="T35" s="226">
        <f t="shared" si="10"/>
        <v>75429631.430000007</v>
      </c>
      <c r="U35" s="226">
        <f t="shared" si="10"/>
        <v>20515975.830000002</v>
      </c>
      <c r="V35" s="226">
        <f t="shared" si="10"/>
        <v>31648110.48</v>
      </c>
      <c r="W35" s="226">
        <f t="shared" si="10"/>
        <v>0</v>
      </c>
      <c r="X35" s="226">
        <f t="shared" si="10"/>
        <v>0</v>
      </c>
      <c r="Y35" s="226">
        <f t="shared" si="10"/>
        <v>0</v>
      </c>
      <c r="Z35" s="1" t="b">
        <f t="shared" ref="Z35:Z37" si="11">K35=SUM(N35:Y35)</f>
        <v>1</v>
      </c>
      <c r="AA35" s="43">
        <f t="shared" ref="AA35" si="12">ROUND(K35/J35,4)</f>
        <v>0.49580000000000002</v>
      </c>
      <c r="AB35" s="44" t="s">
        <v>14</v>
      </c>
      <c r="AC35" s="44" t="b">
        <f t="shared" ref="AC35" si="13">J35=K35+L35</f>
        <v>1</v>
      </c>
      <c r="AD35" s="36"/>
    </row>
    <row r="36" spans="1:30" ht="20.100000000000001" customHeight="1" x14ac:dyDescent="0.25">
      <c r="A36" s="371" t="s">
        <v>38</v>
      </c>
      <c r="B36" s="371"/>
      <c r="C36" s="371"/>
      <c r="D36" s="371"/>
      <c r="E36" s="371"/>
      <c r="F36" s="371"/>
      <c r="G36" s="371"/>
      <c r="H36" s="49">
        <f>SUMIF($C$3:$C$34,"N",H3:H34)</f>
        <v>30.040000000000003</v>
      </c>
      <c r="I36" s="50" t="s">
        <v>14</v>
      </c>
      <c r="J36" s="51">
        <f>SUMIF($C$3:$C$34,"N",J3:J34)</f>
        <v>111658219.66999999</v>
      </c>
      <c r="K36" s="52">
        <f>SUMIF($C$3:$C$34,"N",K3:K34)</f>
        <v>55829109.829999991</v>
      </c>
      <c r="L36" s="52">
        <f>SUMIF($C$3:$C$34,"N",L3:L34)</f>
        <v>55829109.839999989</v>
      </c>
      <c r="M36" s="53" t="s">
        <v>14</v>
      </c>
      <c r="N36" s="61">
        <f t="shared" ref="N36:Y36" si="14">SUMIF($C$3:$C$34,"N",N3:N34)</f>
        <v>0</v>
      </c>
      <c r="O36" s="61">
        <f t="shared" si="14"/>
        <v>0</v>
      </c>
      <c r="P36" s="61">
        <f t="shared" si="14"/>
        <v>0</v>
      </c>
      <c r="Q36" s="61">
        <f t="shared" si="14"/>
        <v>0</v>
      </c>
      <c r="R36" s="61">
        <f t="shared" si="14"/>
        <v>0</v>
      </c>
      <c r="S36" s="61">
        <f t="shared" si="14"/>
        <v>0</v>
      </c>
      <c r="T36" s="61">
        <f t="shared" si="14"/>
        <v>55829109.829999991</v>
      </c>
      <c r="U36" s="61">
        <f t="shared" si="14"/>
        <v>0</v>
      </c>
      <c r="V36" s="61">
        <f t="shared" si="14"/>
        <v>0</v>
      </c>
      <c r="W36" s="61">
        <f t="shared" si="14"/>
        <v>0</v>
      </c>
      <c r="X36" s="61">
        <f t="shared" si="14"/>
        <v>0</v>
      </c>
      <c r="Y36" s="61">
        <f t="shared" si="14"/>
        <v>0</v>
      </c>
      <c r="Z36" s="1" t="b">
        <f t="shared" si="11"/>
        <v>1</v>
      </c>
      <c r="AA36" s="43">
        <f t="shared" ref="AA36" si="15">ROUND(K36/J36,4)</f>
        <v>0.5</v>
      </c>
      <c r="AB36" s="44" t="s">
        <v>14</v>
      </c>
      <c r="AC36" s="44" t="b">
        <f t="shared" ref="AC36" si="16">J36=K36+L36</f>
        <v>1</v>
      </c>
      <c r="AD36" s="36"/>
    </row>
    <row r="37" spans="1:30" ht="20.100000000000001" customHeight="1" x14ac:dyDescent="0.25">
      <c r="A37" s="369" t="s">
        <v>39</v>
      </c>
      <c r="B37" s="369"/>
      <c r="C37" s="369"/>
      <c r="D37" s="369"/>
      <c r="E37" s="369"/>
      <c r="F37" s="369"/>
      <c r="G37" s="369"/>
      <c r="H37" s="55">
        <f>SUMIF($C$3:$C$34,"W",H3:H34)</f>
        <v>47.446000000000005</v>
      </c>
      <c r="I37" s="56" t="s">
        <v>14</v>
      </c>
      <c r="J37" s="57">
        <f>SUMIF($C$3:$C$34,"W",J3:J34)</f>
        <v>145711466.97999999</v>
      </c>
      <c r="K37" s="58">
        <f>SUMIF($C$3:$C$34,"W",K3:K34)</f>
        <v>71764607.909999996</v>
      </c>
      <c r="L37" s="58">
        <f>SUMIF($C$3:$C$34,"W",L3:L34)</f>
        <v>73946859.069999993</v>
      </c>
      <c r="M37" s="59" t="s">
        <v>14</v>
      </c>
      <c r="N37" s="62">
        <f t="shared" ref="N37:Y37" si="17">SUMIF($C$3:$C$34,"W",N3:N34)</f>
        <v>0</v>
      </c>
      <c r="O37" s="62">
        <f t="shared" si="17"/>
        <v>0</v>
      </c>
      <c r="P37" s="62">
        <f t="shared" si="17"/>
        <v>0</v>
      </c>
      <c r="Q37" s="62">
        <f t="shared" si="17"/>
        <v>0</v>
      </c>
      <c r="R37" s="62">
        <f t="shared" si="17"/>
        <v>0</v>
      </c>
      <c r="S37" s="62">
        <f t="shared" si="17"/>
        <v>0</v>
      </c>
      <c r="T37" s="62">
        <f t="shared" si="17"/>
        <v>19600521.600000001</v>
      </c>
      <c r="U37" s="62">
        <f t="shared" si="17"/>
        <v>20515975.830000002</v>
      </c>
      <c r="V37" s="62">
        <f t="shared" si="17"/>
        <v>31648110.48</v>
      </c>
      <c r="W37" s="62">
        <f t="shared" si="17"/>
        <v>0</v>
      </c>
      <c r="X37" s="62">
        <f t="shared" si="17"/>
        <v>0</v>
      </c>
      <c r="Y37" s="62">
        <f t="shared" si="17"/>
        <v>0</v>
      </c>
      <c r="Z37" s="1" t="b">
        <f t="shared" si="11"/>
        <v>1</v>
      </c>
      <c r="AA37" s="43">
        <f t="shared" ref="AA37" si="18">ROUND(K37/J37,4)</f>
        <v>0.49249999999999999</v>
      </c>
      <c r="AB37" s="44" t="s">
        <v>14</v>
      </c>
      <c r="AC37" s="44" t="b">
        <f t="shared" ref="AC37" si="19">J37=K37+L37</f>
        <v>1</v>
      </c>
      <c r="AD37" s="36"/>
    </row>
    <row r="38" spans="1:30" x14ac:dyDescent="0.25">
      <c r="A38" s="39"/>
    </row>
    <row r="39" spans="1:30" x14ac:dyDescent="0.25">
      <c r="A39" s="33" t="s">
        <v>24</v>
      </c>
    </row>
    <row r="40" spans="1:30" x14ac:dyDescent="0.25">
      <c r="A40" s="34" t="s">
        <v>25</v>
      </c>
    </row>
    <row r="41" spans="1:30" x14ac:dyDescent="0.25">
      <c r="A41" s="33" t="s">
        <v>35</v>
      </c>
    </row>
    <row r="42" spans="1:30" x14ac:dyDescent="0.2">
      <c r="A42" s="358" t="s">
        <v>502</v>
      </c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</row>
  </sheetData>
  <mergeCells count="18">
    <mergeCell ref="K1:K2"/>
    <mergeCell ref="L1:L2"/>
    <mergeCell ref="M1:M2"/>
    <mergeCell ref="N1:Y1"/>
    <mergeCell ref="A42:R42"/>
    <mergeCell ref="A37:G37"/>
    <mergeCell ref="I1:I2"/>
    <mergeCell ref="A1:A2"/>
    <mergeCell ref="B1:B2"/>
    <mergeCell ref="C1:C2"/>
    <mergeCell ref="F1:F2"/>
    <mergeCell ref="G1:G2"/>
    <mergeCell ref="H1:H2"/>
    <mergeCell ref="D1:D2"/>
    <mergeCell ref="A35:G35"/>
    <mergeCell ref="E1:E2"/>
    <mergeCell ref="A36:G36"/>
    <mergeCell ref="J1:J2"/>
  </mergeCells>
  <conditionalFormatting sqref="AC37 AD3:AD34 AA3:AB34 Z3:Z37 AC3:AC35">
    <cfRule type="cellIs" dxfId="23" priority="14" operator="equal">
      <formula>FALSE</formula>
    </cfRule>
  </conditionalFormatting>
  <conditionalFormatting sqref="AD37">
    <cfRule type="cellIs" dxfId="22" priority="19" operator="equal">
      <formula>FALSE</formula>
    </cfRule>
  </conditionalFormatting>
  <conditionalFormatting sqref="AD37">
    <cfRule type="cellIs" dxfId="21" priority="18" operator="equal">
      <formula>FALSE</formula>
    </cfRule>
  </conditionalFormatting>
  <conditionalFormatting sqref="AA37:AB37">
    <cfRule type="cellIs" dxfId="20" priority="17" operator="equal">
      <formula>FALSE</formula>
    </cfRule>
  </conditionalFormatting>
  <conditionalFormatting sqref="AA37:AB37 Z3:AB34 Z4:Z37">
    <cfRule type="containsText" dxfId="19" priority="15" operator="containsText" text="fałsz">
      <formula>NOT(ISERROR(SEARCH("fałsz",Z3)))</formula>
    </cfRule>
  </conditionalFormatting>
  <conditionalFormatting sqref="AC37">
    <cfRule type="cellIs" dxfId="18" priority="13" operator="equal">
      <formula>FALSE</formula>
    </cfRule>
  </conditionalFormatting>
  <conditionalFormatting sqref="AD35:AD36">
    <cfRule type="cellIs" dxfId="17" priority="12" operator="equal">
      <formula>FALSE</formula>
    </cfRule>
  </conditionalFormatting>
  <conditionalFormatting sqref="AD35:AD36">
    <cfRule type="cellIs" dxfId="16" priority="11" operator="equal">
      <formula>FALSE</formula>
    </cfRule>
  </conditionalFormatting>
  <conditionalFormatting sqref="AA35:AB35">
    <cfRule type="cellIs" dxfId="15" priority="10" operator="equal">
      <formula>FALSE</formula>
    </cfRule>
  </conditionalFormatting>
  <conditionalFormatting sqref="AA35:AB35">
    <cfRule type="containsText" dxfId="14" priority="8" operator="containsText" text="fałsz">
      <formula>NOT(ISERROR(SEARCH("fałsz",AA35)))</formula>
    </cfRule>
  </conditionalFormatting>
  <conditionalFormatting sqref="AA36:AB36">
    <cfRule type="cellIs" dxfId="13" priority="5" operator="equal">
      <formula>FALSE</formula>
    </cfRule>
  </conditionalFormatting>
  <conditionalFormatting sqref="AA36:AB36">
    <cfRule type="containsText" dxfId="12" priority="3" operator="containsText" text="fałsz">
      <formula>NOT(ISERROR(SEARCH("fałsz",AA36)))</formula>
    </cfRule>
  </conditionalFormatting>
  <conditionalFormatting sqref="AC36">
    <cfRule type="cellIs" dxfId="11" priority="2" operator="equal">
      <formula>FALSE</formula>
    </cfRule>
  </conditionalFormatting>
  <conditionalFormatting sqref="AC36">
    <cfRule type="cellIs" dxfId="10" priority="1" operator="equal">
      <formula>FALSE</formula>
    </cfRule>
  </conditionalFormatting>
  <dataValidations count="1">
    <dataValidation type="list" allowBlank="1" showInputMessage="1" showErrorMessage="1" sqref="C3:C33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>
    <oddHeader>&amp;LWojewództwo podlaskie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8"/>
  <sheetViews>
    <sheetView showGridLines="0" tabSelected="1" view="pageBreakPreview" zoomScale="85" zoomScaleNormal="78" zoomScaleSheetLayoutView="85" workbookViewId="0">
      <selection activeCell="F45" sqref="F45"/>
    </sheetView>
  </sheetViews>
  <sheetFormatPr defaultColWidth="9.140625" defaultRowHeight="15" x14ac:dyDescent="0.25"/>
  <cols>
    <col min="1" max="2" width="7.140625" style="14" customWidth="1"/>
    <col min="3" max="3" width="17.28515625" style="14" customWidth="1"/>
    <col min="4" max="4" width="19.42578125" style="14" customWidth="1"/>
    <col min="5" max="5" width="15.7109375" style="14" customWidth="1"/>
    <col min="6" max="6" width="18" style="14" customWidth="1"/>
    <col min="7" max="7" width="65.5703125" style="14" customWidth="1"/>
    <col min="8" max="8" width="9.28515625" style="14" customWidth="1"/>
    <col min="9" max="9" width="13.28515625" style="14" customWidth="1"/>
    <col min="10" max="10" width="13.7109375" style="14" customWidth="1"/>
    <col min="11" max="11" width="15.7109375" style="38" customWidth="1"/>
    <col min="12" max="12" width="17.7109375" style="14" customWidth="1"/>
    <col min="13" max="13" width="15.7109375" style="14" customWidth="1"/>
    <col min="14" max="14" width="15.7109375" style="1" customWidth="1"/>
    <col min="15" max="30" width="15.7109375" style="14" customWidth="1"/>
    <col min="31" max="16384" width="9.140625" style="14"/>
  </cols>
  <sheetData>
    <row r="1" spans="1:30" ht="20.100000000000001" customHeight="1" x14ac:dyDescent="0.25">
      <c r="A1" s="349" t="s">
        <v>4</v>
      </c>
      <c r="B1" s="348" t="s">
        <v>5</v>
      </c>
      <c r="C1" s="356" t="s">
        <v>45</v>
      </c>
      <c r="D1" s="352" t="s">
        <v>6</v>
      </c>
      <c r="E1" s="352" t="s">
        <v>32</v>
      </c>
      <c r="F1" s="352" t="s">
        <v>15</v>
      </c>
      <c r="G1" s="348" t="s">
        <v>7</v>
      </c>
      <c r="H1" s="348" t="s">
        <v>26</v>
      </c>
      <c r="I1" s="348" t="s">
        <v>8</v>
      </c>
      <c r="J1" s="348" t="s">
        <v>27</v>
      </c>
      <c r="K1" s="349" t="s">
        <v>9</v>
      </c>
      <c r="L1" s="348" t="s">
        <v>10</v>
      </c>
      <c r="M1" s="352" t="s">
        <v>13</v>
      </c>
      <c r="N1" s="348" t="s">
        <v>11</v>
      </c>
      <c r="O1" s="357" t="s">
        <v>12</v>
      </c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</row>
    <row r="2" spans="1:30" ht="20.100000000000001" customHeight="1" x14ac:dyDescent="0.25">
      <c r="A2" s="349"/>
      <c r="B2" s="348"/>
      <c r="C2" s="357"/>
      <c r="D2" s="353"/>
      <c r="E2" s="353"/>
      <c r="F2" s="353"/>
      <c r="G2" s="348"/>
      <c r="H2" s="348"/>
      <c r="I2" s="348"/>
      <c r="J2" s="348"/>
      <c r="K2" s="349"/>
      <c r="L2" s="348"/>
      <c r="M2" s="353"/>
      <c r="N2" s="348"/>
      <c r="O2" s="37">
        <v>2019</v>
      </c>
      <c r="P2" s="37">
        <v>2020</v>
      </c>
      <c r="Q2" s="37">
        <v>2021</v>
      </c>
      <c r="R2" s="37">
        <v>2022</v>
      </c>
      <c r="S2" s="37">
        <v>2023</v>
      </c>
      <c r="T2" s="37">
        <v>2024</v>
      </c>
      <c r="U2" s="37">
        <v>2025</v>
      </c>
      <c r="V2" s="37">
        <v>2026</v>
      </c>
      <c r="W2" s="37">
        <v>2027</v>
      </c>
      <c r="X2" s="37">
        <v>2028</v>
      </c>
      <c r="Y2" s="134">
        <v>2029</v>
      </c>
      <c r="Z2" s="134">
        <v>2030</v>
      </c>
      <c r="AA2" s="1" t="s">
        <v>28</v>
      </c>
      <c r="AB2" s="1" t="s">
        <v>29</v>
      </c>
      <c r="AC2" s="1" t="s">
        <v>30</v>
      </c>
      <c r="AD2" s="42" t="s">
        <v>31</v>
      </c>
    </row>
    <row r="3" spans="1:30" ht="36.75" customHeight="1" x14ac:dyDescent="0.25">
      <c r="A3" s="142">
        <v>1</v>
      </c>
      <c r="B3" s="142">
        <v>123</v>
      </c>
      <c r="C3" s="142" t="s">
        <v>299</v>
      </c>
      <c r="D3" s="142" t="s">
        <v>145</v>
      </c>
      <c r="E3" s="142">
        <v>2011072</v>
      </c>
      <c r="F3" s="142" t="s">
        <v>308</v>
      </c>
      <c r="G3" s="194" t="s">
        <v>432</v>
      </c>
      <c r="H3" s="195" t="s">
        <v>83</v>
      </c>
      <c r="I3" s="185">
        <v>2.0379999999999998</v>
      </c>
      <c r="J3" s="182" t="s">
        <v>237</v>
      </c>
      <c r="K3" s="191">
        <v>4613781.5999999996</v>
      </c>
      <c r="L3" s="191">
        <f>ROUNDDOWN(K3*N3,2)</f>
        <v>2306890.7999999998</v>
      </c>
      <c r="M3" s="191">
        <f>K3-L3</f>
        <v>2306890.7999999998</v>
      </c>
      <c r="N3" s="196">
        <v>0.5</v>
      </c>
      <c r="O3" s="242">
        <v>0</v>
      </c>
      <c r="P3" s="242">
        <v>0</v>
      </c>
      <c r="Q3" s="242">
        <v>0</v>
      </c>
      <c r="R3" s="242">
        <v>0</v>
      </c>
      <c r="S3" s="242">
        <v>0</v>
      </c>
      <c r="T3" s="242">
        <v>0</v>
      </c>
      <c r="U3" s="216">
        <f>L3</f>
        <v>2306890.7999999998</v>
      </c>
      <c r="V3" s="216">
        <v>0</v>
      </c>
      <c r="W3" s="216">
        <v>0</v>
      </c>
      <c r="X3" s="216">
        <v>0</v>
      </c>
      <c r="Y3" s="216">
        <v>0</v>
      </c>
      <c r="Z3" s="216">
        <v>0</v>
      </c>
      <c r="AA3" s="1" t="b">
        <f>L3=SUM(O3:Z3)</f>
        <v>1</v>
      </c>
      <c r="AB3" s="43">
        <f>ROUND(L3/K3,4)</f>
        <v>0.5</v>
      </c>
      <c r="AC3" s="44" t="b">
        <f>AB3=N3</f>
        <v>1</v>
      </c>
      <c r="AD3" s="44" t="b">
        <f>K3=L3+M3</f>
        <v>1</v>
      </c>
    </row>
    <row r="4" spans="1:30" ht="36.75" customHeight="1" x14ac:dyDescent="0.25">
      <c r="A4" s="229">
        <v>2</v>
      </c>
      <c r="B4" s="205">
        <v>384</v>
      </c>
      <c r="C4" s="206" t="s">
        <v>300</v>
      </c>
      <c r="D4" s="205" t="s">
        <v>194</v>
      </c>
      <c r="E4" s="205">
        <v>2013033</v>
      </c>
      <c r="F4" s="205" t="s">
        <v>314</v>
      </c>
      <c r="G4" s="207" t="s">
        <v>433</v>
      </c>
      <c r="H4" s="205" t="s">
        <v>83</v>
      </c>
      <c r="I4" s="208">
        <v>1.36</v>
      </c>
      <c r="J4" s="205" t="s">
        <v>287</v>
      </c>
      <c r="K4" s="252">
        <v>6988366</v>
      </c>
      <c r="L4" s="253">
        <f t="shared" ref="L4:L49" si="0">ROUNDDOWN(K4*N4,2)</f>
        <v>3494183</v>
      </c>
      <c r="M4" s="252">
        <f t="shared" ref="M4:M50" si="1">K4-L4</f>
        <v>3494183</v>
      </c>
      <c r="N4" s="209">
        <v>0.5</v>
      </c>
      <c r="O4" s="256">
        <v>0</v>
      </c>
      <c r="P4" s="256">
        <v>0</v>
      </c>
      <c r="Q4" s="256">
        <v>0</v>
      </c>
      <c r="R4" s="256">
        <v>0</v>
      </c>
      <c r="S4" s="256">
        <v>0</v>
      </c>
      <c r="T4" s="256">
        <v>0</v>
      </c>
      <c r="U4" s="256">
        <v>490000</v>
      </c>
      <c r="V4" s="256">
        <v>4183</v>
      </c>
      <c r="W4" s="256">
        <v>3000000</v>
      </c>
      <c r="X4" s="256">
        <v>0</v>
      </c>
      <c r="Y4" s="256">
        <v>0</v>
      </c>
      <c r="Z4" s="257">
        <v>0</v>
      </c>
      <c r="AA4" s="1" t="b">
        <f t="shared" ref="AA4:AA50" si="2">L4=SUM(O4:Z4)</f>
        <v>1</v>
      </c>
      <c r="AB4" s="43">
        <f t="shared" ref="AB4:AB50" si="3">ROUND(L4/K4,4)</f>
        <v>0.5</v>
      </c>
      <c r="AC4" s="44" t="b">
        <f t="shared" ref="AC4:AC50" si="4">AB4=N4</f>
        <v>1</v>
      </c>
      <c r="AD4" s="44" t="b">
        <f t="shared" ref="AD4:AD50" si="5">K4=L4+M4</f>
        <v>1</v>
      </c>
    </row>
    <row r="5" spans="1:30" ht="36.75" customHeight="1" x14ac:dyDescent="0.25">
      <c r="A5" s="195">
        <v>3</v>
      </c>
      <c r="B5" s="182">
        <v>213</v>
      </c>
      <c r="C5" s="142" t="s">
        <v>299</v>
      </c>
      <c r="D5" s="182" t="s">
        <v>434</v>
      </c>
      <c r="E5" s="182">
        <v>2001072</v>
      </c>
      <c r="F5" s="182" t="s">
        <v>319</v>
      </c>
      <c r="G5" s="192" t="s">
        <v>435</v>
      </c>
      <c r="H5" s="182" t="s">
        <v>83</v>
      </c>
      <c r="I5" s="187">
        <v>1.0249999999999999</v>
      </c>
      <c r="J5" s="182" t="s">
        <v>436</v>
      </c>
      <c r="K5" s="188">
        <v>945000</v>
      </c>
      <c r="L5" s="191">
        <f t="shared" si="0"/>
        <v>472500</v>
      </c>
      <c r="M5" s="188">
        <f t="shared" si="1"/>
        <v>472500</v>
      </c>
      <c r="N5" s="186">
        <v>0.5</v>
      </c>
      <c r="O5" s="216">
        <v>0</v>
      </c>
      <c r="P5" s="216">
        <v>0</v>
      </c>
      <c r="Q5" s="216">
        <v>0</v>
      </c>
      <c r="R5" s="216">
        <v>0</v>
      </c>
      <c r="S5" s="216">
        <v>0</v>
      </c>
      <c r="T5" s="216">
        <v>0</v>
      </c>
      <c r="U5" s="216">
        <f>L5</f>
        <v>472500</v>
      </c>
      <c r="V5" s="216">
        <v>0</v>
      </c>
      <c r="W5" s="216">
        <v>0</v>
      </c>
      <c r="X5" s="216">
        <v>0</v>
      </c>
      <c r="Y5" s="216">
        <v>0</v>
      </c>
      <c r="Z5" s="230">
        <v>0</v>
      </c>
      <c r="AA5" s="1" t="b">
        <f t="shared" si="2"/>
        <v>1</v>
      </c>
      <c r="AB5" s="43">
        <f t="shared" si="3"/>
        <v>0.5</v>
      </c>
      <c r="AC5" s="44" t="b">
        <f t="shared" si="4"/>
        <v>1</v>
      </c>
      <c r="AD5" s="44" t="b">
        <f t="shared" si="5"/>
        <v>1</v>
      </c>
    </row>
    <row r="6" spans="1:30" ht="36.75" customHeight="1" x14ac:dyDescent="0.25">
      <c r="A6" s="227">
        <v>4</v>
      </c>
      <c r="B6" s="210">
        <v>336</v>
      </c>
      <c r="C6" s="211" t="s">
        <v>299</v>
      </c>
      <c r="D6" s="210" t="s">
        <v>437</v>
      </c>
      <c r="E6" s="210">
        <v>2008043</v>
      </c>
      <c r="F6" s="210" t="s">
        <v>438</v>
      </c>
      <c r="G6" s="212" t="s">
        <v>439</v>
      </c>
      <c r="H6" s="210" t="s">
        <v>85</v>
      </c>
      <c r="I6" s="213">
        <v>0.91100000000000003</v>
      </c>
      <c r="J6" s="210" t="s">
        <v>440</v>
      </c>
      <c r="K6" s="254">
        <v>4535000</v>
      </c>
      <c r="L6" s="255">
        <f t="shared" si="0"/>
        <v>2267500</v>
      </c>
      <c r="M6" s="254">
        <f t="shared" si="1"/>
        <v>2267500</v>
      </c>
      <c r="N6" s="214">
        <v>0.5</v>
      </c>
      <c r="O6" s="216">
        <v>0</v>
      </c>
      <c r="P6" s="216">
        <v>0</v>
      </c>
      <c r="Q6" s="216">
        <v>0</v>
      </c>
      <c r="R6" s="216">
        <v>0</v>
      </c>
      <c r="S6" s="216">
        <v>0</v>
      </c>
      <c r="T6" s="216">
        <v>0</v>
      </c>
      <c r="U6" s="258">
        <f>L6</f>
        <v>2267500</v>
      </c>
      <c r="V6" s="258">
        <v>0</v>
      </c>
      <c r="W6" s="258">
        <v>0</v>
      </c>
      <c r="X6" s="258">
        <v>0</v>
      </c>
      <c r="Y6" s="258">
        <v>0</v>
      </c>
      <c r="Z6" s="259">
        <v>0</v>
      </c>
      <c r="AA6" s="1" t="b">
        <f t="shared" si="2"/>
        <v>1</v>
      </c>
      <c r="AB6" s="43">
        <f t="shared" si="3"/>
        <v>0.5</v>
      </c>
      <c r="AC6" s="44" t="b">
        <f t="shared" si="4"/>
        <v>1</v>
      </c>
      <c r="AD6" s="44" t="b">
        <f t="shared" si="5"/>
        <v>1</v>
      </c>
    </row>
    <row r="7" spans="1:30" ht="36.75" customHeight="1" x14ac:dyDescent="0.25">
      <c r="A7" s="195">
        <v>5</v>
      </c>
      <c r="B7" s="182">
        <v>220</v>
      </c>
      <c r="C7" s="142" t="s">
        <v>299</v>
      </c>
      <c r="D7" s="182" t="s">
        <v>415</v>
      </c>
      <c r="E7" s="182">
        <v>2006062</v>
      </c>
      <c r="F7" s="182" t="s">
        <v>416</v>
      </c>
      <c r="G7" s="192" t="s">
        <v>441</v>
      </c>
      <c r="H7" s="182" t="s">
        <v>83</v>
      </c>
      <c r="I7" s="187">
        <v>0.88</v>
      </c>
      <c r="J7" s="182" t="s">
        <v>221</v>
      </c>
      <c r="K7" s="188">
        <v>953000</v>
      </c>
      <c r="L7" s="191">
        <f>ROUNDDOWN(K7*N7,2)</f>
        <v>476500</v>
      </c>
      <c r="M7" s="188">
        <f>K7-L7</f>
        <v>476500</v>
      </c>
      <c r="N7" s="186">
        <v>0.5</v>
      </c>
      <c r="O7" s="216">
        <v>0</v>
      </c>
      <c r="P7" s="216">
        <v>0</v>
      </c>
      <c r="Q7" s="216">
        <v>0</v>
      </c>
      <c r="R7" s="216">
        <v>0</v>
      </c>
      <c r="S7" s="216">
        <v>0</v>
      </c>
      <c r="T7" s="216">
        <v>0</v>
      </c>
      <c r="U7" s="216">
        <f>L7</f>
        <v>476500</v>
      </c>
      <c r="V7" s="216">
        <v>0</v>
      </c>
      <c r="W7" s="216">
        <v>0</v>
      </c>
      <c r="X7" s="216">
        <v>0</v>
      </c>
      <c r="Y7" s="216">
        <v>0</v>
      </c>
      <c r="Z7" s="230">
        <v>0</v>
      </c>
      <c r="AA7" s="1" t="b">
        <f t="shared" si="2"/>
        <v>1</v>
      </c>
      <c r="AB7" s="43">
        <f t="shared" si="3"/>
        <v>0.5</v>
      </c>
      <c r="AC7" s="44" t="b">
        <f t="shared" si="4"/>
        <v>1</v>
      </c>
      <c r="AD7" s="44" t="b">
        <f t="shared" si="5"/>
        <v>1</v>
      </c>
    </row>
    <row r="8" spans="1:30" ht="36.75" customHeight="1" x14ac:dyDescent="0.25">
      <c r="A8" s="195">
        <v>6</v>
      </c>
      <c r="B8" s="182">
        <v>51</v>
      </c>
      <c r="C8" s="142" t="s">
        <v>299</v>
      </c>
      <c r="D8" s="182" t="s">
        <v>394</v>
      </c>
      <c r="E8" s="182">
        <v>2014052</v>
      </c>
      <c r="F8" s="182" t="s">
        <v>302</v>
      </c>
      <c r="G8" s="192" t="s">
        <v>442</v>
      </c>
      <c r="H8" s="182" t="s">
        <v>85</v>
      </c>
      <c r="I8" s="187">
        <v>0.76</v>
      </c>
      <c r="J8" s="182" t="s">
        <v>237</v>
      </c>
      <c r="K8" s="188">
        <v>6402000</v>
      </c>
      <c r="L8" s="191">
        <f t="shared" si="0"/>
        <v>3201000</v>
      </c>
      <c r="M8" s="188">
        <f t="shared" si="1"/>
        <v>3201000</v>
      </c>
      <c r="N8" s="186">
        <v>0.5</v>
      </c>
      <c r="O8" s="216">
        <v>0</v>
      </c>
      <c r="P8" s="216">
        <v>0</v>
      </c>
      <c r="Q8" s="216">
        <v>0</v>
      </c>
      <c r="R8" s="216">
        <v>0</v>
      </c>
      <c r="S8" s="216">
        <v>0</v>
      </c>
      <c r="T8" s="216">
        <v>0</v>
      </c>
      <c r="U8" s="216">
        <f>L8</f>
        <v>3201000</v>
      </c>
      <c r="V8" s="216">
        <v>0</v>
      </c>
      <c r="W8" s="216">
        <v>0</v>
      </c>
      <c r="X8" s="216">
        <v>0</v>
      </c>
      <c r="Y8" s="216">
        <v>0</v>
      </c>
      <c r="Z8" s="230">
        <v>0</v>
      </c>
      <c r="AA8" s="1" t="b">
        <f t="shared" si="2"/>
        <v>1</v>
      </c>
      <c r="AB8" s="43">
        <f t="shared" si="3"/>
        <v>0.5</v>
      </c>
      <c r="AC8" s="44" t="b">
        <f t="shared" si="4"/>
        <v>1</v>
      </c>
      <c r="AD8" s="44" t="b">
        <f t="shared" si="5"/>
        <v>1</v>
      </c>
    </row>
    <row r="9" spans="1:30" ht="36.75" customHeight="1" x14ac:dyDescent="0.25">
      <c r="A9" s="155">
        <v>7</v>
      </c>
      <c r="B9" s="179">
        <v>2</v>
      </c>
      <c r="C9" s="144" t="s">
        <v>300</v>
      </c>
      <c r="D9" s="179" t="s">
        <v>358</v>
      </c>
      <c r="E9" s="179">
        <v>2002112</v>
      </c>
      <c r="F9" s="179" t="s">
        <v>306</v>
      </c>
      <c r="G9" s="193" t="s">
        <v>443</v>
      </c>
      <c r="H9" s="179" t="s">
        <v>85</v>
      </c>
      <c r="I9" s="148">
        <v>0.70899999999999996</v>
      </c>
      <c r="J9" s="179" t="s">
        <v>360</v>
      </c>
      <c r="K9" s="151">
        <v>3675010</v>
      </c>
      <c r="L9" s="151">
        <f t="shared" si="0"/>
        <v>1837505</v>
      </c>
      <c r="M9" s="57">
        <f t="shared" si="1"/>
        <v>1837505</v>
      </c>
      <c r="N9" s="152">
        <v>0.5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4">
        <v>37505</v>
      </c>
      <c r="V9" s="154">
        <v>1800000</v>
      </c>
      <c r="W9" s="154">
        <v>0</v>
      </c>
      <c r="X9" s="154">
        <v>0</v>
      </c>
      <c r="Y9" s="154">
        <v>0</v>
      </c>
      <c r="Z9" s="153">
        <v>0</v>
      </c>
      <c r="AA9" s="1" t="b">
        <f t="shared" si="2"/>
        <v>1</v>
      </c>
      <c r="AB9" s="43">
        <f t="shared" si="3"/>
        <v>0.5</v>
      </c>
      <c r="AC9" s="44" t="b">
        <f t="shared" si="4"/>
        <v>1</v>
      </c>
      <c r="AD9" s="44" t="b">
        <f t="shared" si="5"/>
        <v>1</v>
      </c>
    </row>
    <row r="10" spans="1:30" ht="36.75" customHeight="1" x14ac:dyDescent="0.25">
      <c r="A10" s="195">
        <v>8</v>
      </c>
      <c r="B10" s="182">
        <v>23</v>
      </c>
      <c r="C10" s="142" t="s">
        <v>299</v>
      </c>
      <c r="D10" s="182" t="s">
        <v>193</v>
      </c>
      <c r="E10" s="182">
        <v>2002013</v>
      </c>
      <c r="F10" s="182" t="s">
        <v>306</v>
      </c>
      <c r="G10" s="192" t="s">
        <v>444</v>
      </c>
      <c r="H10" s="182" t="s">
        <v>85</v>
      </c>
      <c r="I10" s="187">
        <v>0.70799999999999996</v>
      </c>
      <c r="J10" s="182" t="s">
        <v>445</v>
      </c>
      <c r="K10" s="188">
        <v>6151979.79</v>
      </c>
      <c r="L10" s="191">
        <f>ROUNDDOWN(K10*N10,2)</f>
        <v>3075989.89</v>
      </c>
      <c r="M10" s="188">
        <f>K10-L10</f>
        <v>3075989.9</v>
      </c>
      <c r="N10" s="186">
        <v>0.5</v>
      </c>
      <c r="O10" s="216">
        <v>0</v>
      </c>
      <c r="P10" s="216">
        <v>0</v>
      </c>
      <c r="Q10" s="216">
        <v>0</v>
      </c>
      <c r="R10" s="216">
        <v>0</v>
      </c>
      <c r="S10" s="216">
        <v>0</v>
      </c>
      <c r="T10" s="216">
        <v>0</v>
      </c>
      <c r="U10" s="216">
        <f>L10</f>
        <v>3075989.89</v>
      </c>
      <c r="V10" s="216">
        <v>0</v>
      </c>
      <c r="W10" s="216">
        <v>0</v>
      </c>
      <c r="X10" s="216">
        <v>0</v>
      </c>
      <c r="Y10" s="216">
        <v>0</v>
      </c>
      <c r="Z10" s="230">
        <v>0</v>
      </c>
      <c r="AA10" s="1" t="b">
        <f t="shared" si="2"/>
        <v>1</v>
      </c>
      <c r="AB10" s="43">
        <f t="shared" si="3"/>
        <v>0.5</v>
      </c>
      <c r="AC10" s="44" t="b">
        <f t="shared" si="4"/>
        <v>1</v>
      </c>
      <c r="AD10" s="44" t="b">
        <f t="shared" si="5"/>
        <v>1</v>
      </c>
    </row>
    <row r="11" spans="1:30" ht="36.75" customHeight="1" x14ac:dyDescent="0.25">
      <c r="A11" s="144">
        <v>9</v>
      </c>
      <c r="B11" s="144">
        <v>85</v>
      </c>
      <c r="C11" s="144" t="s">
        <v>300</v>
      </c>
      <c r="D11" s="144" t="s">
        <v>316</v>
      </c>
      <c r="E11" s="144">
        <v>2002063</v>
      </c>
      <c r="F11" s="144" t="s">
        <v>306</v>
      </c>
      <c r="G11" s="160" t="s">
        <v>446</v>
      </c>
      <c r="H11" s="155" t="s">
        <v>85</v>
      </c>
      <c r="I11" s="156">
        <v>0.69</v>
      </c>
      <c r="J11" s="179" t="s">
        <v>447</v>
      </c>
      <c r="K11" s="151">
        <v>12743200</v>
      </c>
      <c r="L11" s="151">
        <f t="shared" si="0"/>
        <v>6371600</v>
      </c>
      <c r="M11" s="151">
        <f t="shared" si="1"/>
        <v>6371600</v>
      </c>
      <c r="N11" s="152">
        <v>0.5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2251600</v>
      </c>
      <c r="V11" s="154">
        <v>2060000</v>
      </c>
      <c r="W11" s="154">
        <v>2060000</v>
      </c>
      <c r="X11" s="154">
        <v>0</v>
      </c>
      <c r="Y11" s="154">
        <v>0</v>
      </c>
      <c r="Z11" s="154">
        <v>0</v>
      </c>
      <c r="AA11" s="1" t="b">
        <f t="shared" si="2"/>
        <v>1</v>
      </c>
      <c r="AB11" s="43">
        <f t="shared" si="3"/>
        <v>0.5</v>
      </c>
      <c r="AC11" s="44" t="b">
        <f t="shared" si="4"/>
        <v>1</v>
      </c>
      <c r="AD11" s="44" t="b">
        <f t="shared" si="5"/>
        <v>1</v>
      </c>
    </row>
    <row r="12" spans="1:30" ht="36.75" customHeight="1" x14ac:dyDescent="0.25">
      <c r="A12" s="155">
        <v>10</v>
      </c>
      <c r="B12" s="179">
        <v>1</v>
      </c>
      <c r="C12" s="144" t="s">
        <v>300</v>
      </c>
      <c r="D12" s="179" t="s">
        <v>358</v>
      </c>
      <c r="E12" s="179">
        <v>2002112</v>
      </c>
      <c r="F12" s="179" t="s">
        <v>306</v>
      </c>
      <c r="G12" s="193" t="s">
        <v>448</v>
      </c>
      <c r="H12" s="179" t="s">
        <v>85</v>
      </c>
      <c r="I12" s="148">
        <v>0.68700000000000006</v>
      </c>
      <c r="J12" s="179" t="s">
        <v>360</v>
      </c>
      <c r="K12" s="151">
        <v>2798233</v>
      </c>
      <c r="L12" s="151">
        <f t="shared" si="0"/>
        <v>1399116.5</v>
      </c>
      <c r="M12" s="57">
        <f t="shared" si="1"/>
        <v>1399116.5</v>
      </c>
      <c r="N12" s="152">
        <v>0.5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49116.5</v>
      </c>
      <c r="V12" s="154">
        <v>1350000</v>
      </c>
      <c r="W12" s="154">
        <v>0</v>
      </c>
      <c r="X12" s="154">
        <v>0</v>
      </c>
      <c r="Y12" s="154">
        <v>0</v>
      </c>
      <c r="Z12" s="153">
        <v>0</v>
      </c>
      <c r="AA12" s="1" t="b">
        <f t="shared" si="2"/>
        <v>1</v>
      </c>
      <c r="AB12" s="43">
        <f t="shared" si="3"/>
        <v>0.5</v>
      </c>
      <c r="AC12" s="44" t="b">
        <f t="shared" si="4"/>
        <v>1</v>
      </c>
      <c r="AD12" s="44" t="b">
        <f t="shared" si="5"/>
        <v>1</v>
      </c>
    </row>
    <row r="13" spans="1:30" ht="36.75" customHeight="1" x14ac:dyDescent="0.25">
      <c r="A13" s="195">
        <v>11</v>
      </c>
      <c r="B13" s="182">
        <v>387</v>
      </c>
      <c r="C13" s="142" t="s">
        <v>299</v>
      </c>
      <c r="D13" s="182" t="s">
        <v>194</v>
      </c>
      <c r="E13" s="182">
        <v>2013033</v>
      </c>
      <c r="F13" s="182" t="s">
        <v>314</v>
      </c>
      <c r="G13" s="192" t="s">
        <v>449</v>
      </c>
      <c r="H13" s="182" t="s">
        <v>85</v>
      </c>
      <c r="I13" s="185">
        <v>0.66200000000000003</v>
      </c>
      <c r="J13" s="182" t="s">
        <v>304</v>
      </c>
      <c r="K13" s="188">
        <v>3450331.19</v>
      </c>
      <c r="L13" s="191">
        <f t="shared" si="0"/>
        <v>1725165.59</v>
      </c>
      <c r="M13" s="188">
        <f t="shared" si="1"/>
        <v>1725165.5999999999</v>
      </c>
      <c r="N13" s="186">
        <v>0.5</v>
      </c>
      <c r="O13" s="216">
        <v>0</v>
      </c>
      <c r="P13" s="216">
        <v>0</v>
      </c>
      <c r="Q13" s="216">
        <v>0</v>
      </c>
      <c r="R13" s="216">
        <v>0</v>
      </c>
      <c r="S13" s="216">
        <v>0</v>
      </c>
      <c r="T13" s="216">
        <v>0</v>
      </c>
      <c r="U13" s="216">
        <f>L13</f>
        <v>1725165.59</v>
      </c>
      <c r="V13" s="216">
        <v>0</v>
      </c>
      <c r="W13" s="216">
        <v>0</v>
      </c>
      <c r="X13" s="216">
        <v>0</v>
      </c>
      <c r="Y13" s="216">
        <v>0</v>
      </c>
      <c r="Z13" s="230">
        <v>0</v>
      </c>
      <c r="AA13" s="1" t="b">
        <f t="shared" si="2"/>
        <v>1</v>
      </c>
      <c r="AB13" s="43">
        <f t="shared" si="3"/>
        <v>0.5</v>
      </c>
      <c r="AC13" s="44" t="b">
        <f t="shared" si="4"/>
        <v>1</v>
      </c>
      <c r="AD13" s="44" t="b">
        <f t="shared" si="5"/>
        <v>1</v>
      </c>
    </row>
    <row r="14" spans="1:30" ht="36.75" customHeight="1" x14ac:dyDescent="0.25">
      <c r="A14" s="195">
        <v>12</v>
      </c>
      <c r="B14" s="182">
        <v>385</v>
      </c>
      <c r="C14" s="142" t="s">
        <v>299</v>
      </c>
      <c r="D14" s="182" t="s">
        <v>194</v>
      </c>
      <c r="E14" s="182">
        <v>2013033</v>
      </c>
      <c r="F14" s="182" t="s">
        <v>314</v>
      </c>
      <c r="G14" s="192" t="s">
        <v>450</v>
      </c>
      <c r="H14" s="182" t="s">
        <v>83</v>
      </c>
      <c r="I14" s="187">
        <v>0.625</v>
      </c>
      <c r="J14" s="182" t="s">
        <v>221</v>
      </c>
      <c r="K14" s="188">
        <v>4176078.04</v>
      </c>
      <c r="L14" s="191">
        <f t="shared" si="0"/>
        <v>2088039.02</v>
      </c>
      <c r="M14" s="188">
        <f t="shared" si="1"/>
        <v>2088039.02</v>
      </c>
      <c r="N14" s="186">
        <v>0.5</v>
      </c>
      <c r="O14" s="216">
        <v>0</v>
      </c>
      <c r="P14" s="216">
        <v>0</v>
      </c>
      <c r="Q14" s="216">
        <v>0</v>
      </c>
      <c r="R14" s="216">
        <v>0</v>
      </c>
      <c r="S14" s="216">
        <v>0</v>
      </c>
      <c r="T14" s="216">
        <v>0</v>
      </c>
      <c r="U14" s="216">
        <f>L14</f>
        <v>2088039.02</v>
      </c>
      <c r="V14" s="216">
        <v>0</v>
      </c>
      <c r="W14" s="216">
        <v>0</v>
      </c>
      <c r="X14" s="216">
        <v>0</v>
      </c>
      <c r="Y14" s="216">
        <v>0</v>
      </c>
      <c r="Z14" s="230">
        <v>0</v>
      </c>
      <c r="AA14" s="1" t="b">
        <f t="shared" si="2"/>
        <v>1</v>
      </c>
      <c r="AB14" s="43">
        <f t="shared" si="3"/>
        <v>0.5</v>
      </c>
      <c r="AC14" s="44" t="b">
        <f t="shared" si="4"/>
        <v>1</v>
      </c>
      <c r="AD14" s="44" t="b">
        <f t="shared" si="5"/>
        <v>1</v>
      </c>
    </row>
    <row r="15" spans="1:30" ht="36.75" customHeight="1" x14ac:dyDescent="0.25">
      <c r="A15" s="195">
        <v>13</v>
      </c>
      <c r="B15" s="182">
        <v>288</v>
      </c>
      <c r="C15" s="142" t="s">
        <v>299</v>
      </c>
      <c r="D15" s="182" t="s">
        <v>65</v>
      </c>
      <c r="E15" s="182">
        <v>2003011</v>
      </c>
      <c r="F15" s="182" t="s">
        <v>323</v>
      </c>
      <c r="G15" s="192" t="s">
        <v>451</v>
      </c>
      <c r="H15" s="182" t="s">
        <v>85</v>
      </c>
      <c r="I15" s="187">
        <v>0.53</v>
      </c>
      <c r="J15" s="182" t="s">
        <v>274</v>
      </c>
      <c r="K15" s="188">
        <v>5348020</v>
      </c>
      <c r="L15" s="191">
        <f t="shared" si="0"/>
        <v>2674010</v>
      </c>
      <c r="M15" s="188">
        <f t="shared" si="1"/>
        <v>2674010</v>
      </c>
      <c r="N15" s="186">
        <v>0.5</v>
      </c>
      <c r="O15" s="216">
        <v>0</v>
      </c>
      <c r="P15" s="216">
        <v>0</v>
      </c>
      <c r="Q15" s="216">
        <v>0</v>
      </c>
      <c r="R15" s="216">
        <v>0</v>
      </c>
      <c r="S15" s="216">
        <v>0</v>
      </c>
      <c r="T15" s="216">
        <v>0</v>
      </c>
      <c r="U15" s="216">
        <f>L15</f>
        <v>2674010</v>
      </c>
      <c r="V15" s="216">
        <v>0</v>
      </c>
      <c r="W15" s="216">
        <v>0</v>
      </c>
      <c r="X15" s="216">
        <v>0</v>
      </c>
      <c r="Y15" s="216">
        <v>0</v>
      </c>
      <c r="Z15" s="230">
        <v>0</v>
      </c>
      <c r="AA15" s="1" t="b">
        <f t="shared" si="2"/>
        <v>1</v>
      </c>
      <c r="AB15" s="43">
        <f t="shared" si="3"/>
        <v>0.5</v>
      </c>
      <c r="AC15" s="44" t="b">
        <f t="shared" si="4"/>
        <v>1</v>
      </c>
      <c r="AD15" s="44" t="b">
        <f t="shared" si="5"/>
        <v>1</v>
      </c>
    </row>
    <row r="16" spans="1:30" ht="36.75" customHeight="1" x14ac:dyDescent="0.25">
      <c r="A16" s="155">
        <v>14</v>
      </c>
      <c r="B16" s="179">
        <v>156</v>
      </c>
      <c r="C16" s="144" t="s">
        <v>300</v>
      </c>
      <c r="D16" s="179" t="s">
        <v>205</v>
      </c>
      <c r="E16" s="179">
        <v>2011084</v>
      </c>
      <c r="F16" s="179" t="s">
        <v>308</v>
      </c>
      <c r="G16" s="193" t="s">
        <v>452</v>
      </c>
      <c r="H16" s="179" t="s">
        <v>83</v>
      </c>
      <c r="I16" s="148">
        <v>0.52800000000000002</v>
      </c>
      <c r="J16" s="179" t="s">
        <v>310</v>
      </c>
      <c r="K16" s="57">
        <v>13303000</v>
      </c>
      <c r="L16" s="151">
        <f t="shared" si="0"/>
        <v>6651500</v>
      </c>
      <c r="M16" s="57">
        <f t="shared" si="1"/>
        <v>6651500</v>
      </c>
      <c r="N16" s="152">
        <v>0.5</v>
      </c>
      <c r="O16" s="154">
        <v>0</v>
      </c>
      <c r="P16" s="154">
        <v>0</v>
      </c>
      <c r="Q16" s="154">
        <v>0</v>
      </c>
      <c r="R16" s="154">
        <v>0</v>
      </c>
      <c r="S16" s="154">
        <v>0</v>
      </c>
      <c r="T16" s="154">
        <v>0</v>
      </c>
      <c r="U16" s="154">
        <v>2217166.67</v>
      </c>
      <c r="V16" s="154">
        <v>2217166.67</v>
      </c>
      <c r="W16" s="154">
        <v>2217166.66</v>
      </c>
      <c r="X16" s="154">
        <v>0</v>
      </c>
      <c r="Y16" s="154">
        <v>0</v>
      </c>
      <c r="Z16" s="153">
        <v>0</v>
      </c>
      <c r="AA16" s="1" t="b">
        <f t="shared" si="2"/>
        <v>1</v>
      </c>
      <c r="AB16" s="43">
        <f t="shared" si="3"/>
        <v>0.5</v>
      </c>
      <c r="AC16" s="44" t="b">
        <f t="shared" si="4"/>
        <v>1</v>
      </c>
      <c r="AD16" s="44" t="b">
        <f t="shared" si="5"/>
        <v>1</v>
      </c>
    </row>
    <row r="17" spans="1:30" ht="36.75" customHeight="1" x14ac:dyDescent="0.25">
      <c r="A17" s="195">
        <v>15</v>
      </c>
      <c r="B17" s="182">
        <v>22</v>
      </c>
      <c r="C17" s="142" t="s">
        <v>299</v>
      </c>
      <c r="D17" s="182" t="s">
        <v>193</v>
      </c>
      <c r="E17" s="182">
        <v>2002013</v>
      </c>
      <c r="F17" s="182" t="s">
        <v>306</v>
      </c>
      <c r="G17" s="192" t="s">
        <v>453</v>
      </c>
      <c r="H17" s="182" t="s">
        <v>85</v>
      </c>
      <c r="I17" s="187">
        <v>0.52100000000000002</v>
      </c>
      <c r="J17" s="182" t="s">
        <v>312</v>
      </c>
      <c r="K17" s="188">
        <v>4259267.37</v>
      </c>
      <c r="L17" s="191">
        <f>ROUNDDOWN(K17*N17,2)</f>
        <v>2129633.6800000002</v>
      </c>
      <c r="M17" s="188">
        <f>K17-L17</f>
        <v>2129633.69</v>
      </c>
      <c r="N17" s="186">
        <v>0.5</v>
      </c>
      <c r="O17" s="216">
        <v>0</v>
      </c>
      <c r="P17" s="216">
        <v>0</v>
      </c>
      <c r="Q17" s="216">
        <v>0</v>
      </c>
      <c r="R17" s="216">
        <v>0</v>
      </c>
      <c r="S17" s="216">
        <v>0</v>
      </c>
      <c r="T17" s="216">
        <v>0</v>
      </c>
      <c r="U17" s="216">
        <f>L17</f>
        <v>2129633.6800000002</v>
      </c>
      <c r="V17" s="216">
        <v>0</v>
      </c>
      <c r="W17" s="216">
        <v>0</v>
      </c>
      <c r="X17" s="216">
        <v>0</v>
      </c>
      <c r="Y17" s="216">
        <v>0</v>
      </c>
      <c r="Z17" s="230">
        <v>0</v>
      </c>
      <c r="AA17" s="1" t="b">
        <f t="shared" si="2"/>
        <v>1</v>
      </c>
      <c r="AB17" s="43">
        <f t="shared" si="3"/>
        <v>0.5</v>
      </c>
      <c r="AC17" s="44" t="b">
        <f t="shared" si="4"/>
        <v>1</v>
      </c>
      <c r="AD17" s="44" t="b">
        <f t="shared" si="5"/>
        <v>1</v>
      </c>
    </row>
    <row r="18" spans="1:30" ht="36.75" customHeight="1" x14ac:dyDescent="0.25">
      <c r="A18" s="195">
        <v>16</v>
      </c>
      <c r="B18" s="182">
        <v>374</v>
      </c>
      <c r="C18" s="142" t="s">
        <v>299</v>
      </c>
      <c r="D18" s="182" t="s">
        <v>387</v>
      </c>
      <c r="E18" s="182">
        <v>2004053</v>
      </c>
      <c r="F18" s="182" t="s">
        <v>382</v>
      </c>
      <c r="G18" s="192" t="s">
        <v>454</v>
      </c>
      <c r="H18" s="182" t="s">
        <v>83</v>
      </c>
      <c r="I18" s="187">
        <v>0.40200000000000002</v>
      </c>
      <c r="J18" s="182" t="s">
        <v>221</v>
      </c>
      <c r="K18" s="188">
        <v>1969114.03</v>
      </c>
      <c r="L18" s="191">
        <f t="shared" si="0"/>
        <v>984557.01</v>
      </c>
      <c r="M18" s="188">
        <f t="shared" si="1"/>
        <v>984557.02</v>
      </c>
      <c r="N18" s="186">
        <v>0.5</v>
      </c>
      <c r="O18" s="216">
        <v>0</v>
      </c>
      <c r="P18" s="216">
        <v>0</v>
      </c>
      <c r="Q18" s="216">
        <v>0</v>
      </c>
      <c r="R18" s="216">
        <v>0</v>
      </c>
      <c r="S18" s="216">
        <v>0</v>
      </c>
      <c r="T18" s="216">
        <v>0</v>
      </c>
      <c r="U18" s="216">
        <f>L18</f>
        <v>984557.01</v>
      </c>
      <c r="V18" s="216">
        <v>0</v>
      </c>
      <c r="W18" s="216">
        <v>0</v>
      </c>
      <c r="X18" s="216">
        <v>0</v>
      </c>
      <c r="Y18" s="216">
        <v>0</v>
      </c>
      <c r="Z18" s="230">
        <v>0</v>
      </c>
      <c r="AA18" s="1" t="b">
        <f t="shared" si="2"/>
        <v>1</v>
      </c>
      <c r="AB18" s="43">
        <f t="shared" si="3"/>
        <v>0.5</v>
      </c>
      <c r="AC18" s="44" t="b">
        <f t="shared" si="4"/>
        <v>1</v>
      </c>
      <c r="AD18" s="44" t="b">
        <f t="shared" si="5"/>
        <v>1</v>
      </c>
    </row>
    <row r="19" spans="1:30" ht="36.75" customHeight="1" x14ac:dyDescent="0.25">
      <c r="A19" s="195">
        <v>17</v>
      </c>
      <c r="B19" s="182">
        <v>83</v>
      </c>
      <c r="C19" s="142" t="s">
        <v>299</v>
      </c>
      <c r="D19" s="182" t="s">
        <v>316</v>
      </c>
      <c r="E19" s="182">
        <v>2002063</v>
      </c>
      <c r="F19" s="182" t="s">
        <v>306</v>
      </c>
      <c r="G19" s="192" t="s">
        <v>455</v>
      </c>
      <c r="H19" s="182" t="s">
        <v>85</v>
      </c>
      <c r="I19" s="187">
        <v>0.3</v>
      </c>
      <c r="J19" s="182" t="s">
        <v>338</v>
      </c>
      <c r="K19" s="238">
        <v>2159200</v>
      </c>
      <c r="L19" s="191">
        <f t="shared" si="0"/>
        <v>1079600</v>
      </c>
      <c r="M19" s="188">
        <f t="shared" si="1"/>
        <v>1079600</v>
      </c>
      <c r="N19" s="186">
        <v>0.5</v>
      </c>
      <c r="O19" s="216">
        <v>0</v>
      </c>
      <c r="P19" s="216">
        <v>0</v>
      </c>
      <c r="Q19" s="216">
        <v>0</v>
      </c>
      <c r="R19" s="216">
        <v>0</v>
      </c>
      <c r="S19" s="216">
        <v>0</v>
      </c>
      <c r="T19" s="216">
        <v>0</v>
      </c>
      <c r="U19" s="231">
        <f>L19</f>
        <v>1079600</v>
      </c>
      <c r="V19" s="216">
        <v>0</v>
      </c>
      <c r="W19" s="216">
        <v>0</v>
      </c>
      <c r="X19" s="216">
        <v>0</v>
      </c>
      <c r="Y19" s="216">
        <v>0</v>
      </c>
      <c r="Z19" s="230">
        <v>0</v>
      </c>
      <c r="AA19" s="1" t="b">
        <f t="shared" si="2"/>
        <v>1</v>
      </c>
      <c r="AB19" s="43">
        <f t="shared" si="3"/>
        <v>0.5</v>
      </c>
      <c r="AC19" s="44" t="b">
        <f t="shared" si="4"/>
        <v>1</v>
      </c>
      <c r="AD19" s="44" t="b">
        <f t="shared" si="5"/>
        <v>1</v>
      </c>
    </row>
    <row r="20" spans="1:30" ht="36.75" customHeight="1" x14ac:dyDescent="0.25">
      <c r="A20" s="195">
        <v>18</v>
      </c>
      <c r="B20" s="182">
        <v>345</v>
      </c>
      <c r="C20" s="142" t="s">
        <v>299</v>
      </c>
      <c r="D20" s="182" t="s">
        <v>361</v>
      </c>
      <c r="E20" s="182">
        <v>2002133</v>
      </c>
      <c r="F20" s="182" t="s">
        <v>306</v>
      </c>
      <c r="G20" s="192" t="s">
        <v>456</v>
      </c>
      <c r="H20" s="182" t="s">
        <v>85</v>
      </c>
      <c r="I20" s="187">
        <v>0.13700000000000001</v>
      </c>
      <c r="J20" s="182" t="s">
        <v>304</v>
      </c>
      <c r="K20" s="188">
        <v>1805000</v>
      </c>
      <c r="L20" s="191">
        <f t="shared" si="0"/>
        <v>902500</v>
      </c>
      <c r="M20" s="188">
        <f t="shared" si="1"/>
        <v>902500</v>
      </c>
      <c r="N20" s="186">
        <v>0.5</v>
      </c>
      <c r="O20" s="216">
        <v>0</v>
      </c>
      <c r="P20" s="216">
        <v>0</v>
      </c>
      <c r="Q20" s="216">
        <v>0</v>
      </c>
      <c r="R20" s="216">
        <v>0</v>
      </c>
      <c r="S20" s="216">
        <v>0</v>
      </c>
      <c r="T20" s="216">
        <v>0</v>
      </c>
      <c r="U20" s="216">
        <f>L20</f>
        <v>902500</v>
      </c>
      <c r="V20" s="216">
        <v>0</v>
      </c>
      <c r="W20" s="216">
        <v>0</v>
      </c>
      <c r="X20" s="216">
        <v>0</v>
      </c>
      <c r="Y20" s="216">
        <v>0</v>
      </c>
      <c r="Z20" s="230">
        <v>0</v>
      </c>
      <c r="AA20" s="1" t="b">
        <f t="shared" si="2"/>
        <v>1</v>
      </c>
      <c r="AB20" s="43">
        <f t="shared" si="3"/>
        <v>0.5</v>
      </c>
      <c r="AC20" s="44" t="b">
        <f t="shared" si="4"/>
        <v>1</v>
      </c>
      <c r="AD20" s="44" t="b">
        <f t="shared" si="5"/>
        <v>1</v>
      </c>
    </row>
    <row r="21" spans="1:30" ht="36.75" customHeight="1" x14ac:dyDescent="0.25">
      <c r="A21" s="195">
        <v>19</v>
      </c>
      <c r="B21" s="182">
        <v>335</v>
      </c>
      <c r="C21" s="142" t="s">
        <v>299</v>
      </c>
      <c r="D21" s="182" t="s">
        <v>437</v>
      </c>
      <c r="E21" s="182">
        <v>2008043</v>
      </c>
      <c r="F21" s="182" t="s">
        <v>438</v>
      </c>
      <c r="G21" s="192" t="s">
        <v>457</v>
      </c>
      <c r="H21" s="182" t="s">
        <v>85</v>
      </c>
      <c r="I21" s="187">
        <v>7.1999999999999995E-2</v>
      </c>
      <c r="J21" s="182" t="s">
        <v>458</v>
      </c>
      <c r="K21" s="188">
        <v>239000</v>
      </c>
      <c r="L21" s="191">
        <f t="shared" si="0"/>
        <v>119500</v>
      </c>
      <c r="M21" s="188">
        <f t="shared" si="1"/>
        <v>119500</v>
      </c>
      <c r="N21" s="186">
        <v>0.5</v>
      </c>
      <c r="O21" s="216">
        <v>0</v>
      </c>
      <c r="P21" s="216">
        <v>0</v>
      </c>
      <c r="Q21" s="216">
        <v>0</v>
      </c>
      <c r="R21" s="216">
        <v>0</v>
      </c>
      <c r="S21" s="216">
        <v>0</v>
      </c>
      <c r="T21" s="216">
        <v>0</v>
      </c>
      <c r="U21" s="216">
        <f>L21</f>
        <v>119500</v>
      </c>
      <c r="V21" s="216">
        <v>0</v>
      </c>
      <c r="W21" s="216">
        <v>0</v>
      </c>
      <c r="X21" s="216">
        <v>0</v>
      </c>
      <c r="Y21" s="216">
        <v>0</v>
      </c>
      <c r="Z21" s="230">
        <v>0</v>
      </c>
      <c r="AA21" s="1" t="b">
        <f t="shared" si="2"/>
        <v>1</v>
      </c>
      <c r="AB21" s="43">
        <f t="shared" si="3"/>
        <v>0.5</v>
      </c>
      <c r="AC21" s="44" t="b">
        <f t="shared" si="4"/>
        <v>1</v>
      </c>
      <c r="AD21" s="44" t="b">
        <f t="shared" si="5"/>
        <v>1</v>
      </c>
    </row>
    <row r="22" spans="1:30" ht="36.75" customHeight="1" x14ac:dyDescent="0.25">
      <c r="A22" s="155">
        <v>20</v>
      </c>
      <c r="B22" s="179">
        <v>258</v>
      </c>
      <c r="C22" s="144" t="s">
        <v>300</v>
      </c>
      <c r="D22" s="179" t="s">
        <v>318</v>
      </c>
      <c r="E22" s="179">
        <v>2001011</v>
      </c>
      <c r="F22" s="179" t="s">
        <v>319</v>
      </c>
      <c r="G22" s="193" t="s">
        <v>459</v>
      </c>
      <c r="H22" s="179" t="s">
        <v>85</v>
      </c>
      <c r="I22" s="148">
        <v>0.03</v>
      </c>
      <c r="J22" s="179" t="s">
        <v>460</v>
      </c>
      <c r="K22" s="57">
        <v>2570000</v>
      </c>
      <c r="L22" s="151">
        <f t="shared" si="0"/>
        <v>1285000</v>
      </c>
      <c r="M22" s="57">
        <f t="shared" si="1"/>
        <v>1285000</v>
      </c>
      <c r="N22" s="152">
        <v>0.5</v>
      </c>
      <c r="O22" s="154">
        <v>0</v>
      </c>
      <c r="P22" s="154">
        <v>0</v>
      </c>
      <c r="Q22" s="154">
        <v>0</v>
      </c>
      <c r="R22" s="154">
        <v>0</v>
      </c>
      <c r="S22" s="154">
        <v>0</v>
      </c>
      <c r="T22" s="154">
        <v>0</v>
      </c>
      <c r="U22" s="154">
        <v>2000</v>
      </c>
      <c r="V22" s="154">
        <v>1283000</v>
      </c>
      <c r="W22" s="154">
        <v>0</v>
      </c>
      <c r="X22" s="154">
        <v>0</v>
      </c>
      <c r="Y22" s="154">
        <v>0</v>
      </c>
      <c r="Z22" s="153">
        <v>0</v>
      </c>
      <c r="AA22" s="1" t="b">
        <f t="shared" si="2"/>
        <v>1</v>
      </c>
      <c r="AB22" s="43">
        <f t="shared" si="3"/>
        <v>0.5</v>
      </c>
      <c r="AC22" s="44" t="b">
        <f t="shared" si="4"/>
        <v>1</v>
      </c>
      <c r="AD22" s="44" t="b">
        <f t="shared" si="5"/>
        <v>1</v>
      </c>
    </row>
    <row r="23" spans="1:30" ht="36.75" customHeight="1" x14ac:dyDescent="0.25">
      <c r="A23" s="195">
        <v>21</v>
      </c>
      <c r="B23" s="182">
        <v>35</v>
      </c>
      <c r="C23" s="142" t="s">
        <v>299</v>
      </c>
      <c r="D23" s="182" t="s">
        <v>379</v>
      </c>
      <c r="E23" s="182">
        <v>2003032</v>
      </c>
      <c r="F23" s="182" t="s">
        <v>323</v>
      </c>
      <c r="G23" s="192" t="s">
        <v>461</v>
      </c>
      <c r="H23" s="182" t="s">
        <v>83</v>
      </c>
      <c r="I23" s="187">
        <v>2.9350000000000001</v>
      </c>
      <c r="J23" s="182" t="s">
        <v>248</v>
      </c>
      <c r="K23" s="191">
        <v>7005000</v>
      </c>
      <c r="L23" s="191">
        <f t="shared" si="0"/>
        <v>3502500</v>
      </c>
      <c r="M23" s="188">
        <f t="shared" si="1"/>
        <v>3502500</v>
      </c>
      <c r="N23" s="186">
        <v>0.5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16">
        <f t="shared" ref="U23:U32" si="6">L23</f>
        <v>3502500</v>
      </c>
      <c r="V23" s="216">
        <v>0</v>
      </c>
      <c r="W23" s="216">
        <v>0</v>
      </c>
      <c r="X23" s="216">
        <v>0</v>
      </c>
      <c r="Y23" s="216">
        <v>0</v>
      </c>
      <c r="Z23" s="230">
        <v>0</v>
      </c>
      <c r="AA23" s="1" t="b">
        <f t="shared" si="2"/>
        <v>1</v>
      </c>
      <c r="AB23" s="43">
        <f t="shared" si="3"/>
        <v>0.5</v>
      </c>
      <c r="AC23" s="44" t="b">
        <f t="shared" si="4"/>
        <v>1</v>
      </c>
      <c r="AD23" s="44" t="b">
        <f t="shared" si="5"/>
        <v>1</v>
      </c>
    </row>
    <row r="24" spans="1:30" ht="36.75" customHeight="1" x14ac:dyDescent="0.25">
      <c r="A24" s="195">
        <v>22</v>
      </c>
      <c r="B24" s="182">
        <v>308</v>
      </c>
      <c r="C24" s="142" t="s">
        <v>299</v>
      </c>
      <c r="D24" s="182" t="s">
        <v>333</v>
      </c>
      <c r="E24" s="182">
        <v>2007013</v>
      </c>
      <c r="F24" s="182" t="s">
        <v>334</v>
      </c>
      <c r="G24" s="192" t="s">
        <v>462</v>
      </c>
      <c r="H24" s="182" t="s">
        <v>83</v>
      </c>
      <c r="I24" s="187">
        <v>2.2930000000000001</v>
      </c>
      <c r="J24" s="182" t="s">
        <v>276</v>
      </c>
      <c r="K24" s="188">
        <v>3842500</v>
      </c>
      <c r="L24" s="191">
        <f t="shared" si="0"/>
        <v>1921250</v>
      </c>
      <c r="M24" s="188">
        <f t="shared" si="1"/>
        <v>1921250</v>
      </c>
      <c r="N24" s="186">
        <v>0.5</v>
      </c>
      <c r="O24" s="230">
        <v>0</v>
      </c>
      <c r="P24" s="230">
        <v>0</v>
      </c>
      <c r="Q24" s="230">
        <v>0</v>
      </c>
      <c r="R24" s="230">
        <v>0</v>
      </c>
      <c r="S24" s="230">
        <v>0</v>
      </c>
      <c r="T24" s="230">
        <v>0</v>
      </c>
      <c r="U24" s="216">
        <f t="shared" si="6"/>
        <v>1921250</v>
      </c>
      <c r="V24" s="216">
        <v>0</v>
      </c>
      <c r="W24" s="216">
        <v>0</v>
      </c>
      <c r="X24" s="216">
        <v>0</v>
      </c>
      <c r="Y24" s="216">
        <v>0</v>
      </c>
      <c r="Z24" s="230">
        <v>0</v>
      </c>
      <c r="AA24" s="1" t="b">
        <f t="shared" si="2"/>
        <v>1</v>
      </c>
      <c r="AB24" s="43">
        <f t="shared" si="3"/>
        <v>0.5</v>
      </c>
      <c r="AC24" s="44" t="b">
        <f t="shared" si="4"/>
        <v>1</v>
      </c>
      <c r="AD24" s="44" t="b">
        <f t="shared" si="5"/>
        <v>1</v>
      </c>
    </row>
    <row r="25" spans="1:30" ht="36.75" customHeight="1" x14ac:dyDescent="0.25">
      <c r="A25" s="195">
        <v>23</v>
      </c>
      <c r="B25" s="182">
        <v>212</v>
      </c>
      <c r="C25" s="142" t="s">
        <v>299</v>
      </c>
      <c r="D25" s="182" t="s">
        <v>434</v>
      </c>
      <c r="E25" s="182">
        <v>2001072</v>
      </c>
      <c r="F25" s="182" t="s">
        <v>319</v>
      </c>
      <c r="G25" s="192" t="s">
        <v>463</v>
      </c>
      <c r="H25" s="182" t="s">
        <v>83</v>
      </c>
      <c r="I25" s="187">
        <v>1.7</v>
      </c>
      <c r="J25" s="182" t="s">
        <v>436</v>
      </c>
      <c r="K25" s="188">
        <v>1651000</v>
      </c>
      <c r="L25" s="191">
        <f t="shared" si="0"/>
        <v>825500</v>
      </c>
      <c r="M25" s="188">
        <f t="shared" si="1"/>
        <v>825500</v>
      </c>
      <c r="N25" s="186">
        <v>0.5</v>
      </c>
      <c r="O25" s="230">
        <v>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16">
        <f t="shared" si="6"/>
        <v>825500</v>
      </c>
      <c r="V25" s="216">
        <v>0</v>
      </c>
      <c r="W25" s="216">
        <v>0</v>
      </c>
      <c r="X25" s="216">
        <v>0</v>
      </c>
      <c r="Y25" s="216">
        <v>0</v>
      </c>
      <c r="Z25" s="230">
        <v>0</v>
      </c>
      <c r="AA25" s="1" t="b">
        <f t="shared" si="2"/>
        <v>1</v>
      </c>
      <c r="AB25" s="43">
        <f t="shared" si="3"/>
        <v>0.5</v>
      </c>
      <c r="AC25" s="44" t="b">
        <f t="shared" si="4"/>
        <v>1</v>
      </c>
      <c r="AD25" s="44" t="b">
        <f t="shared" si="5"/>
        <v>1</v>
      </c>
    </row>
    <row r="26" spans="1:30" ht="36.75" customHeight="1" x14ac:dyDescent="0.2">
      <c r="A26" s="142">
        <v>24</v>
      </c>
      <c r="B26" s="142">
        <v>90</v>
      </c>
      <c r="C26" s="142" t="s">
        <v>299</v>
      </c>
      <c r="D26" s="142" t="s">
        <v>76</v>
      </c>
      <c r="E26" s="142">
        <v>2013011</v>
      </c>
      <c r="F26" s="142" t="s">
        <v>314</v>
      </c>
      <c r="G26" s="194" t="s">
        <v>464</v>
      </c>
      <c r="H26" s="195" t="s">
        <v>83</v>
      </c>
      <c r="I26" s="185">
        <v>1.5409999999999999</v>
      </c>
      <c r="J26" s="182" t="s">
        <v>347</v>
      </c>
      <c r="K26" s="191">
        <v>6882500</v>
      </c>
      <c r="L26" s="191">
        <f t="shared" si="0"/>
        <v>3441250</v>
      </c>
      <c r="M26" s="191">
        <f t="shared" si="1"/>
        <v>3441250</v>
      </c>
      <c r="N26" s="189">
        <v>0.5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16">
        <f t="shared" si="6"/>
        <v>3441250</v>
      </c>
      <c r="V26" s="216">
        <v>0</v>
      </c>
      <c r="W26" s="216">
        <v>0</v>
      </c>
      <c r="X26" s="216">
        <v>0</v>
      </c>
      <c r="Y26" s="216">
        <v>0</v>
      </c>
      <c r="Z26" s="216">
        <v>0</v>
      </c>
      <c r="AA26" s="1" t="b">
        <f t="shared" si="2"/>
        <v>1</v>
      </c>
      <c r="AB26" s="43">
        <f t="shared" si="3"/>
        <v>0.5</v>
      </c>
      <c r="AC26" s="44" t="b">
        <f t="shared" si="4"/>
        <v>1</v>
      </c>
      <c r="AD26" s="44" t="b">
        <f t="shared" si="5"/>
        <v>1</v>
      </c>
    </row>
    <row r="27" spans="1:30" ht="36.75" customHeight="1" x14ac:dyDescent="0.25">
      <c r="A27" s="195">
        <v>25</v>
      </c>
      <c r="B27" s="182">
        <v>255</v>
      </c>
      <c r="C27" s="142" t="s">
        <v>299</v>
      </c>
      <c r="D27" s="182" t="s">
        <v>411</v>
      </c>
      <c r="E27" s="182">
        <v>2004043</v>
      </c>
      <c r="F27" s="182" t="s">
        <v>382</v>
      </c>
      <c r="G27" s="192" t="s">
        <v>465</v>
      </c>
      <c r="H27" s="182" t="s">
        <v>85</v>
      </c>
      <c r="I27" s="187">
        <v>1.5</v>
      </c>
      <c r="J27" s="182" t="s">
        <v>237</v>
      </c>
      <c r="K27" s="188">
        <v>3503000</v>
      </c>
      <c r="L27" s="191">
        <f t="shared" si="0"/>
        <v>1751500</v>
      </c>
      <c r="M27" s="188">
        <f t="shared" si="1"/>
        <v>1751500</v>
      </c>
      <c r="N27" s="186">
        <v>0.5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16">
        <f t="shared" si="6"/>
        <v>1751500</v>
      </c>
      <c r="V27" s="216">
        <v>0</v>
      </c>
      <c r="W27" s="216">
        <v>0</v>
      </c>
      <c r="X27" s="216">
        <v>0</v>
      </c>
      <c r="Y27" s="216">
        <v>0</v>
      </c>
      <c r="Z27" s="230">
        <v>0</v>
      </c>
      <c r="AA27" s="1" t="b">
        <f t="shared" si="2"/>
        <v>1</v>
      </c>
      <c r="AB27" s="43">
        <f t="shared" si="3"/>
        <v>0.5</v>
      </c>
      <c r="AC27" s="44" t="b">
        <f t="shared" si="4"/>
        <v>1</v>
      </c>
      <c r="AD27" s="44" t="b">
        <f t="shared" si="5"/>
        <v>1</v>
      </c>
    </row>
    <row r="28" spans="1:30" ht="36.75" customHeight="1" x14ac:dyDescent="0.25">
      <c r="A28" s="195">
        <v>26</v>
      </c>
      <c r="B28" s="182">
        <v>364</v>
      </c>
      <c r="C28" s="142" t="s">
        <v>299</v>
      </c>
      <c r="D28" s="182" t="s">
        <v>349</v>
      </c>
      <c r="E28" s="182">
        <v>2002032</v>
      </c>
      <c r="F28" s="182" t="s">
        <v>306</v>
      </c>
      <c r="G28" s="192" t="s">
        <v>466</v>
      </c>
      <c r="H28" s="182" t="s">
        <v>83</v>
      </c>
      <c r="I28" s="187">
        <v>1.44</v>
      </c>
      <c r="J28" s="182" t="s">
        <v>312</v>
      </c>
      <c r="K28" s="188">
        <v>5303000</v>
      </c>
      <c r="L28" s="191">
        <f t="shared" si="0"/>
        <v>2651500</v>
      </c>
      <c r="M28" s="188">
        <f t="shared" si="1"/>
        <v>2651500</v>
      </c>
      <c r="N28" s="186">
        <v>0.5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16">
        <f t="shared" si="6"/>
        <v>2651500</v>
      </c>
      <c r="V28" s="216">
        <v>0</v>
      </c>
      <c r="W28" s="216">
        <v>0</v>
      </c>
      <c r="X28" s="216">
        <v>0</v>
      </c>
      <c r="Y28" s="216">
        <v>0</v>
      </c>
      <c r="Z28" s="230">
        <v>0</v>
      </c>
      <c r="AA28" s="1" t="b">
        <f t="shared" si="2"/>
        <v>1</v>
      </c>
      <c r="AB28" s="43">
        <f t="shared" si="3"/>
        <v>0.5</v>
      </c>
      <c r="AC28" s="44" t="b">
        <f t="shared" si="4"/>
        <v>1</v>
      </c>
      <c r="AD28" s="44" t="b">
        <f t="shared" si="5"/>
        <v>1</v>
      </c>
    </row>
    <row r="29" spans="1:30" ht="36.75" customHeight="1" x14ac:dyDescent="0.25">
      <c r="A29" s="195">
        <v>27</v>
      </c>
      <c r="B29" s="182">
        <v>209</v>
      </c>
      <c r="C29" s="142" t="s">
        <v>299</v>
      </c>
      <c r="D29" s="182" t="s">
        <v>467</v>
      </c>
      <c r="E29" s="182">
        <v>2005062</v>
      </c>
      <c r="F29" s="182" t="s">
        <v>340</v>
      </c>
      <c r="G29" s="192" t="s">
        <v>468</v>
      </c>
      <c r="H29" s="182" t="s">
        <v>85</v>
      </c>
      <c r="I29" s="187">
        <v>1.33</v>
      </c>
      <c r="J29" s="182" t="s">
        <v>469</v>
      </c>
      <c r="K29" s="188">
        <v>4606755.8</v>
      </c>
      <c r="L29" s="191">
        <f t="shared" si="0"/>
        <v>2303377.9</v>
      </c>
      <c r="M29" s="188">
        <f t="shared" si="1"/>
        <v>2303377.9</v>
      </c>
      <c r="N29" s="186">
        <v>0.5</v>
      </c>
      <c r="O29" s="230">
        <v>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16">
        <f t="shared" si="6"/>
        <v>2303377.9</v>
      </c>
      <c r="V29" s="216">
        <v>0</v>
      </c>
      <c r="W29" s="216">
        <v>0</v>
      </c>
      <c r="X29" s="216">
        <v>0</v>
      </c>
      <c r="Y29" s="216">
        <v>0</v>
      </c>
      <c r="Z29" s="230">
        <v>0</v>
      </c>
      <c r="AA29" s="1" t="b">
        <f t="shared" si="2"/>
        <v>1</v>
      </c>
      <c r="AB29" s="43">
        <f t="shared" si="3"/>
        <v>0.5</v>
      </c>
      <c r="AC29" s="44" t="b">
        <f t="shared" si="4"/>
        <v>1</v>
      </c>
      <c r="AD29" s="44" t="b">
        <f t="shared" si="5"/>
        <v>1</v>
      </c>
    </row>
    <row r="30" spans="1:30" ht="36.75" customHeight="1" x14ac:dyDescent="0.25">
      <c r="A30" s="195">
        <v>28</v>
      </c>
      <c r="B30" s="182">
        <v>214</v>
      </c>
      <c r="C30" s="142" t="s">
        <v>299</v>
      </c>
      <c r="D30" s="182" t="s">
        <v>434</v>
      </c>
      <c r="E30" s="182">
        <v>2001072</v>
      </c>
      <c r="F30" s="182" t="s">
        <v>319</v>
      </c>
      <c r="G30" s="192" t="s">
        <v>470</v>
      </c>
      <c r="H30" s="182" t="s">
        <v>83</v>
      </c>
      <c r="I30" s="187">
        <v>1.23</v>
      </c>
      <c r="J30" s="182" t="s">
        <v>436</v>
      </c>
      <c r="K30" s="188">
        <v>1201000</v>
      </c>
      <c r="L30" s="191">
        <f t="shared" si="0"/>
        <v>600500</v>
      </c>
      <c r="M30" s="188">
        <f t="shared" si="1"/>
        <v>600500</v>
      </c>
      <c r="N30" s="186">
        <v>0.5</v>
      </c>
      <c r="O30" s="230">
        <v>0</v>
      </c>
      <c r="P30" s="230">
        <v>0</v>
      </c>
      <c r="Q30" s="230">
        <v>0</v>
      </c>
      <c r="R30" s="230">
        <v>0</v>
      </c>
      <c r="S30" s="230">
        <v>0</v>
      </c>
      <c r="T30" s="230">
        <v>0</v>
      </c>
      <c r="U30" s="216">
        <f t="shared" si="6"/>
        <v>600500</v>
      </c>
      <c r="V30" s="216">
        <v>0</v>
      </c>
      <c r="W30" s="216">
        <v>0</v>
      </c>
      <c r="X30" s="216">
        <v>0</v>
      </c>
      <c r="Y30" s="216">
        <v>0</v>
      </c>
      <c r="Z30" s="230">
        <v>0</v>
      </c>
      <c r="AA30" s="1" t="b">
        <f t="shared" si="2"/>
        <v>1</v>
      </c>
      <c r="AB30" s="43">
        <f t="shared" si="3"/>
        <v>0.5</v>
      </c>
      <c r="AC30" s="44" t="b">
        <f t="shared" si="4"/>
        <v>1</v>
      </c>
      <c r="AD30" s="44" t="b">
        <f t="shared" si="5"/>
        <v>1</v>
      </c>
    </row>
    <row r="31" spans="1:30" ht="36.75" customHeight="1" x14ac:dyDescent="0.25">
      <c r="A31" s="195">
        <v>29</v>
      </c>
      <c r="B31" s="182">
        <v>248</v>
      </c>
      <c r="C31" s="142" t="s">
        <v>299</v>
      </c>
      <c r="D31" s="182" t="s">
        <v>471</v>
      </c>
      <c r="E31" s="182">
        <v>2008072</v>
      </c>
      <c r="F31" s="182" t="s">
        <v>438</v>
      </c>
      <c r="G31" s="192" t="s">
        <v>472</v>
      </c>
      <c r="H31" s="182" t="s">
        <v>83</v>
      </c>
      <c r="I31" s="187">
        <v>1.2</v>
      </c>
      <c r="J31" s="182" t="s">
        <v>328</v>
      </c>
      <c r="K31" s="191">
        <v>1347352.13</v>
      </c>
      <c r="L31" s="191">
        <f t="shared" si="0"/>
        <v>673676.06</v>
      </c>
      <c r="M31" s="188">
        <f t="shared" si="1"/>
        <v>673676.06999999983</v>
      </c>
      <c r="N31" s="186">
        <v>0.5</v>
      </c>
      <c r="O31" s="230">
        <v>0</v>
      </c>
      <c r="P31" s="230">
        <v>0</v>
      </c>
      <c r="Q31" s="230">
        <v>0</v>
      </c>
      <c r="R31" s="230">
        <v>0</v>
      </c>
      <c r="S31" s="230">
        <v>0</v>
      </c>
      <c r="T31" s="230">
        <v>0</v>
      </c>
      <c r="U31" s="216">
        <f t="shared" si="6"/>
        <v>673676.06</v>
      </c>
      <c r="V31" s="216">
        <v>0</v>
      </c>
      <c r="W31" s="216">
        <v>0</v>
      </c>
      <c r="X31" s="216">
        <v>0</v>
      </c>
      <c r="Y31" s="216">
        <v>0</v>
      </c>
      <c r="Z31" s="230">
        <v>0</v>
      </c>
      <c r="AA31" s="1" t="b">
        <f t="shared" si="2"/>
        <v>1</v>
      </c>
      <c r="AB31" s="43">
        <f t="shared" si="3"/>
        <v>0.5</v>
      </c>
      <c r="AC31" s="44" t="b">
        <f t="shared" si="4"/>
        <v>1</v>
      </c>
      <c r="AD31" s="44" t="b">
        <f t="shared" si="5"/>
        <v>1</v>
      </c>
    </row>
    <row r="32" spans="1:30" ht="36.75" customHeight="1" x14ac:dyDescent="0.25">
      <c r="A32" s="195">
        <v>30</v>
      </c>
      <c r="B32" s="182">
        <v>56</v>
      </c>
      <c r="C32" s="142" t="s">
        <v>299</v>
      </c>
      <c r="D32" s="182" t="s">
        <v>404</v>
      </c>
      <c r="E32" s="182">
        <v>2063011</v>
      </c>
      <c r="F32" s="182" t="s">
        <v>352</v>
      </c>
      <c r="G32" s="192" t="s">
        <v>473</v>
      </c>
      <c r="H32" s="182" t="s">
        <v>85</v>
      </c>
      <c r="I32" s="187">
        <v>1.1619999999999999</v>
      </c>
      <c r="J32" s="182" t="s">
        <v>304</v>
      </c>
      <c r="K32" s="188">
        <v>11424671.41</v>
      </c>
      <c r="L32" s="191">
        <f t="shared" si="0"/>
        <v>5712335.7000000002</v>
      </c>
      <c r="M32" s="188">
        <f t="shared" si="1"/>
        <v>5712335.71</v>
      </c>
      <c r="N32" s="186">
        <v>0.5</v>
      </c>
      <c r="O32" s="230">
        <v>0</v>
      </c>
      <c r="P32" s="230">
        <v>0</v>
      </c>
      <c r="Q32" s="230">
        <v>0</v>
      </c>
      <c r="R32" s="230">
        <v>0</v>
      </c>
      <c r="S32" s="230">
        <v>0</v>
      </c>
      <c r="T32" s="230">
        <v>0</v>
      </c>
      <c r="U32" s="216">
        <f t="shared" si="6"/>
        <v>5712335.7000000002</v>
      </c>
      <c r="V32" s="216">
        <v>0</v>
      </c>
      <c r="W32" s="216">
        <v>0</v>
      </c>
      <c r="X32" s="216">
        <v>0</v>
      </c>
      <c r="Y32" s="216">
        <v>0</v>
      </c>
      <c r="Z32" s="230">
        <v>0</v>
      </c>
      <c r="AA32" s="1" t="b">
        <f t="shared" si="2"/>
        <v>1</v>
      </c>
      <c r="AB32" s="43">
        <f t="shared" si="3"/>
        <v>0.5</v>
      </c>
      <c r="AC32" s="44" t="b">
        <f t="shared" si="4"/>
        <v>1</v>
      </c>
      <c r="AD32" s="44" t="b">
        <f t="shared" si="5"/>
        <v>1</v>
      </c>
    </row>
    <row r="33" spans="1:30" ht="36.75" customHeight="1" x14ac:dyDescent="0.25">
      <c r="A33" s="155">
        <v>31</v>
      </c>
      <c r="B33" s="179">
        <v>162</v>
      </c>
      <c r="C33" s="144" t="s">
        <v>300</v>
      </c>
      <c r="D33" s="179" t="s">
        <v>205</v>
      </c>
      <c r="E33" s="179">
        <v>2011084</v>
      </c>
      <c r="F33" s="179" t="s">
        <v>308</v>
      </c>
      <c r="G33" s="193" t="s">
        <v>474</v>
      </c>
      <c r="H33" s="179" t="s">
        <v>85</v>
      </c>
      <c r="I33" s="148">
        <v>1.119</v>
      </c>
      <c r="J33" s="179" t="s">
        <v>310</v>
      </c>
      <c r="K33" s="57">
        <v>5403000</v>
      </c>
      <c r="L33" s="151">
        <f t="shared" si="0"/>
        <v>2701500</v>
      </c>
      <c r="M33" s="57">
        <f t="shared" si="1"/>
        <v>2701500</v>
      </c>
      <c r="N33" s="152">
        <v>0.5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900500</v>
      </c>
      <c r="V33" s="154">
        <v>900500</v>
      </c>
      <c r="W33" s="154">
        <v>900500</v>
      </c>
      <c r="X33" s="154">
        <v>0</v>
      </c>
      <c r="Y33" s="154">
        <v>0</v>
      </c>
      <c r="Z33" s="153">
        <v>0</v>
      </c>
      <c r="AA33" s="1" t="b">
        <f t="shared" si="2"/>
        <v>1</v>
      </c>
      <c r="AB33" s="43">
        <f t="shared" si="3"/>
        <v>0.5</v>
      </c>
      <c r="AC33" s="44" t="b">
        <f t="shared" si="4"/>
        <v>1</v>
      </c>
      <c r="AD33" s="44" t="b">
        <f t="shared" si="5"/>
        <v>1</v>
      </c>
    </row>
    <row r="34" spans="1:30" ht="36.75" customHeight="1" x14ac:dyDescent="0.25">
      <c r="A34" s="155">
        <v>32</v>
      </c>
      <c r="B34" s="179">
        <v>159</v>
      </c>
      <c r="C34" s="144" t="s">
        <v>300</v>
      </c>
      <c r="D34" s="179" t="s">
        <v>205</v>
      </c>
      <c r="E34" s="179">
        <v>2011084</v>
      </c>
      <c r="F34" s="179" t="s">
        <v>308</v>
      </c>
      <c r="G34" s="193" t="s">
        <v>475</v>
      </c>
      <c r="H34" s="179" t="s">
        <v>83</v>
      </c>
      <c r="I34" s="156">
        <v>1.1000000000000001</v>
      </c>
      <c r="J34" s="179" t="s">
        <v>310</v>
      </c>
      <c r="K34" s="57">
        <v>10903000</v>
      </c>
      <c r="L34" s="151">
        <f t="shared" si="0"/>
        <v>5451500</v>
      </c>
      <c r="M34" s="57">
        <f t="shared" si="1"/>
        <v>5451500</v>
      </c>
      <c r="N34" s="152">
        <v>0.5</v>
      </c>
      <c r="O34" s="154">
        <v>0</v>
      </c>
      <c r="P34" s="154">
        <v>0</v>
      </c>
      <c r="Q34" s="154">
        <v>0</v>
      </c>
      <c r="R34" s="154">
        <v>0</v>
      </c>
      <c r="S34" s="154">
        <v>0</v>
      </c>
      <c r="T34" s="154">
        <v>0</v>
      </c>
      <c r="U34" s="154">
        <v>1817166.67</v>
      </c>
      <c r="V34" s="154">
        <v>1817166.67</v>
      </c>
      <c r="W34" s="154">
        <v>1817166.66</v>
      </c>
      <c r="X34" s="154">
        <v>0</v>
      </c>
      <c r="Y34" s="154">
        <v>0</v>
      </c>
      <c r="Z34" s="154">
        <v>0</v>
      </c>
      <c r="AA34" s="1" t="b">
        <f t="shared" si="2"/>
        <v>1</v>
      </c>
      <c r="AB34" s="43">
        <f t="shared" si="3"/>
        <v>0.5</v>
      </c>
      <c r="AC34" s="44" t="b">
        <f t="shared" si="4"/>
        <v>1</v>
      </c>
      <c r="AD34" s="44" t="b">
        <f t="shared" si="5"/>
        <v>1</v>
      </c>
    </row>
    <row r="35" spans="1:30" ht="36.75" customHeight="1" x14ac:dyDescent="0.25">
      <c r="A35" s="195">
        <v>33</v>
      </c>
      <c r="B35" s="182">
        <v>45</v>
      </c>
      <c r="C35" s="142" t="s">
        <v>299</v>
      </c>
      <c r="D35" s="182" t="s">
        <v>355</v>
      </c>
      <c r="E35" s="182">
        <v>2009022</v>
      </c>
      <c r="F35" s="182" t="s">
        <v>345</v>
      </c>
      <c r="G35" s="192" t="s">
        <v>476</v>
      </c>
      <c r="H35" s="182" t="s">
        <v>83</v>
      </c>
      <c r="I35" s="187">
        <v>0.999</v>
      </c>
      <c r="J35" s="182" t="s">
        <v>357</v>
      </c>
      <c r="K35" s="188">
        <v>1602500</v>
      </c>
      <c r="L35" s="191">
        <f t="shared" si="0"/>
        <v>801250</v>
      </c>
      <c r="M35" s="188">
        <f t="shared" si="1"/>
        <v>801250</v>
      </c>
      <c r="N35" s="186">
        <v>0.5</v>
      </c>
      <c r="O35" s="216">
        <v>0</v>
      </c>
      <c r="P35" s="216">
        <v>0</v>
      </c>
      <c r="Q35" s="216">
        <v>0</v>
      </c>
      <c r="R35" s="216">
        <v>0</v>
      </c>
      <c r="S35" s="216">
        <v>0</v>
      </c>
      <c r="T35" s="216">
        <v>0</v>
      </c>
      <c r="U35" s="216">
        <f t="shared" ref="U35:U39" si="7">L35</f>
        <v>801250</v>
      </c>
      <c r="V35" s="216">
        <v>0</v>
      </c>
      <c r="W35" s="216">
        <v>0</v>
      </c>
      <c r="X35" s="216">
        <v>0</v>
      </c>
      <c r="Y35" s="216">
        <v>0</v>
      </c>
      <c r="Z35" s="230">
        <v>0</v>
      </c>
      <c r="AA35" s="1" t="b">
        <f t="shared" si="2"/>
        <v>1</v>
      </c>
      <c r="AB35" s="43">
        <f t="shared" si="3"/>
        <v>0.5</v>
      </c>
      <c r="AC35" s="44" t="b">
        <f t="shared" si="4"/>
        <v>1</v>
      </c>
      <c r="AD35" s="44" t="b">
        <f t="shared" si="5"/>
        <v>1</v>
      </c>
    </row>
    <row r="36" spans="1:30" ht="36.75" customHeight="1" x14ac:dyDescent="0.25">
      <c r="A36" s="195">
        <v>34</v>
      </c>
      <c r="B36" s="182">
        <v>284</v>
      </c>
      <c r="C36" s="142" t="s">
        <v>299</v>
      </c>
      <c r="D36" s="182" t="s">
        <v>477</v>
      </c>
      <c r="E36" s="182">
        <v>2007052</v>
      </c>
      <c r="F36" s="182" t="s">
        <v>334</v>
      </c>
      <c r="G36" s="192" t="s">
        <v>478</v>
      </c>
      <c r="H36" s="182" t="s">
        <v>85</v>
      </c>
      <c r="I36" s="187">
        <v>0.99399999999999999</v>
      </c>
      <c r="J36" s="182" t="s">
        <v>254</v>
      </c>
      <c r="K36" s="188">
        <v>3195098.66</v>
      </c>
      <c r="L36" s="191">
        <f t="shared" si="0"/>
        <v>1597549.33</v>
      </c>
      <c r="M36" s="188">
        <f t="shared" si="1"/>
        <v>1597549.33</v>
      </c>
      <c r="N36" s="186">
        <v>0.5</v>
      </c>
      <c r="O36" s="216">
        <v>0</v>
      </c>
      <c r="P36" s="216">
        <v>0</v>
      </c>
      <c r="Q36" s="216">
        <v>0</v>
      </c>
      <c r="R36" s="216">
        <v>0</v>
      </c>
      <c r="S36" s="216">
        <v>0</v>
      </c>
      <c r="T36" s="216">
        <v>0</v>
      </c>
      <c r="U36" s="216">
        <f t="shared" si="7"/>
        <v>1597549.33</v>
      </c>
      <c r="V36" s="216">
        <v>0</v>
      </c>
      <c r="W36" s="216">
        <v>0</v>
      </c>
      <c r="X36" s="216">
        <v>0</v>
      </c>
      <c r="Y36" s="216">
        <v>0</v>
      </c>
      <c r="Z36" s="230">
        <v>0</v>
      </c>
      <c r="AA36" s="1" t="b">
        <f t="shared" si="2"/>
        <v>1</v>
      </c>
      <c r="AB36" s="43">
        <f t="shared" si="3"/>
        <v>0.5</v>
      </c>
      <c r="AC36" s="44" t="b">
        <f t="shared" si="4"/>
        <v>1</v>
      </c>
      <c r="AD36" s="44" t="b">
        <f t="shared" si="5"/>
        <v>1</v>
      </c>
    </row>
    <row r="37" spans="1:30" ht="36.75" customHeight="1" x14ac:dyDescent="0.25">
      <c r="A37" s="195">
        <v>35</v>
      </c>
      <c r="B37" s="182">
        <v>25</v>
      </c>
      <c r="C37" s="142" t="s">
        <v>299</v>
      </c>
      <c r="D37" s="182" t="s">
        <v>193</v>
      </c>
      <c r="E37" s="182">
        <v>2002013</v>
      </c>
      <c r="F37" s="182" t="s">
        <v>306</v>
      </c>
      <c r="G37" s="192" t="s">
        <v>479</v>
      </c>
      <c r="H37" s="182" t="s">
        <v>85</v>
      </c>
      <c r="I37" s="187">
        <v>0.72799999999999998</v>
      </c>
      <c r="J37" s="182" t="s">
        <v>480</v>
      </c>
      <c r="K37" s="188">
        <v>8566523.9399999995</v>
      </c>
      <c r="L37" s="191">
        <f t="shared" si="0"/>
        <v>4283261.97</v>
      </c>
      <c r="M37" s="188">
        <f t="shared" si="1"/>
        <v>4283261.97</v>
      </c>
      <c r="N37" s="186">
        <v>0.5</v>
      </c>
      <c r="O37" s="216">
        <v>0</v>
      </c>
      <c r="P37" s="216">
        <v>0</v>
      </c>
      <c r="Q37" s="216">
        <v>0</v>
      </c>
      <c r="R37" s="216">
        <v>0</v>
      </c>
      <c r="S37" s="216">
        <v>0</v>
      </c>
      <c r="T37" s="216">
        <v>0</v>
      </c>
      <c r="U37" s="216">
        <f t="shared" si="7"/>
        <v>4283261.97</v>
      </c>
      <c r="V37" s="216">
        <v>0</v>
      </c>
      <c r="W37" s="216">
        <v>0</v>
      </c>
      <c r="X37" s="216">
        <v>0</v>
      </c>
      <c r="Y37" s="216">
        <v>0</v>
      </c>
      <c r="Z37" s="230">
        <v>0</v>
      </c>
      <c r="AA37" s="1" t="b">
        <f t="shared" si="2"/>
        <v>1</v>
      </c>
      <c r="AB37" s="43">
        <f t="shared" si="3"/>
        <v>0.5</v>
      </c>
      <c r="AC37" s="44" t="b">
        <f t="shared" si="4"/>
        <v>1</v>
      </c>
      <c r="AD37" s="44" t="b">
        <f t="shared" si="5"/>
        <v>1</v>
      </c>
    </row>
    <row r="38" spans="1:30" ht="36.75" customHeight="1" x14ac:dyDescent="0.25">
      <c r="A38" s="195">
        <v>36</v>
      </c>
      <c r="B38" s="182">
        <v>63</v>
      </c>
      <c r="C38" s="142" t="s">
        <v>299</v>
      </c>
      <c r="D38" s="182" t="s">
        <v>270</v>
      </c>
      <c r="E38" s="182">
        <v>2062011</v>
      </c>
      <c r="F38" s="182" t="s">
        <v>334</v>
      </c>
      <c r="G38" s="192" t="s">
        <v>481</v>
      </c>
      <c r="H38" s="182" t="s">
        <v>85</v>
      </c>
      <c r="I38" s="187">
        <v>0.63100000000000001</v>
      </c>
      <c r="J38" s="182" t="s">
        <v>274</v>
      </c>
      <c r="K38" s="188">
        <v>4782928</v>
      </c>
      <c r="L38" s="191">
        <f t="shared" si="0"/>
        <v>2391464</v>
      </c>
      <c r="M38" s="188">
        <f t="shared" si="1"/>
        <v>2391464</v>
      </c>
      <c r="N38" s="186">
        <v>0.5</v>
      </c>
      <c r="O38" s="216">
        <v>0</v>
      </c>
      <c r="P38" s="216">
        <v>0</v>
      </c>
      <c r="Q38" s="216">
        <v>0</v>
      </c>
      <c r="R38" s="216">
        <v>0</v>
      </c>
      <c r="S38" s="216">
        <v>0</v>
      </c>
      <c r="T38" s="216">
        <v>0</v>
      </c>
      <c r="U38" s="216">
        <f t="shared" si="7"/>
        <v>2391464</v>
      </c>
      <c r="V38" s="216">
        <v>0</v>
      </c>
      <c r="W38" s="216">
        <v>0</v>
      </c>
      <c r="X38" s="216">
        <v>0</v>
      </c>
      <c r="Y38" s="216">
        <v>0</v>
      </c>
      <c r="Z38" s="230">
        <v>0</v>
      </c>
      <c r="AA38" s="1" t="b">
        <f t="shared" si="2"/>
        <v>1</v>
      </c>
      <c r="AB38" s="43">
        <f t="shared" si="3"/>
        <v>0.5</v>
      </c>
      <c r="AC38" s="44" t="b">
        <f t="shared" si="4"/>
        <v>1</v>
      </c>
      <c r="AD38" s="44" t="b">
        <f t="shared" si="5"/>
        <v>1</v>
      </c>
    </row>
    <row r="39" spans="1:30" ht="36.75" customHeight="1" x14ac:dyDescent="0.25">
      <c r="A39" s="195">
        <v>37</v>
      </c>
      <c r="B39" s="182">
        <v>344</v>
      </c>
      <c r="C39" s="142" t="s">
        <v>299</v>
      </c>
      <c r="D39" s="182" t="s">
        <v>361</v>
      </c>
      <c r="E39" s="182">
        <v>2002133</v>
      </c>
      <c r="F39" s="182" t="s">
        <v>306</v>
      </c>
      <c r="G39" s="192" t="s">
        <v>482</v>
      </c>
      <c r="H39" s="182" t="s">
        <v>85</v>
      </c>
      <c r="I39" s="187">
        <v>0.56499999999999995</v>
      </c>
      <c r="J39" s="182" t="s">
        <v>304</v>
      </c>
      <c r="K39" s="188">
        <v>5605000</v>
      </c>
      <c r="L39" s="191">
        <f t="shared" si="0"/>
        <v>2802500</v>
      </c>
      <c r="M39" s="188">
        <f t="shared" si="1"/>
        <v>2802500</v>
      </c>
      <c r="N39" s="186">
        <v>0.5</v>
      </c>
      <c r="O39" s="216">
        <v>0</v>
      </c>
      <c r="P39" s="216">
        <v>0</v>
      </c>
      <c r="Q39" s="216">
        <v>0</v>
      </c>
      <c r="R39" s="216">
        <v>0</v>
      </c>
      <c r="S39" s="216">
        <v>0</v>
      </c>
      <c r="T39" s="216">
        <v>0</v>
      </c>
      <c r="U39" s="216">
        <f t="shared" si="7"/>
        <v>2802500</v>
      </c>
      <c r="V39" s="216">
        <v>0</v>
      </c>
      <c r="W39" s="216">
        <v>0</v>
      </c>
      <c r="X39" s="216">
        <v>0</v>
      </c>
      <c r="Y39" s="216">
        <v>0</v>
      </c>
      <c r="Z39" s="230">
        <v>0</v>
      </c>
      <c r="AA39" s="1" t="b">
        <f t="shared" si="2"/>
        <v>1</v>
      </c>
      <c r="AB39" s="43">
        <f t="shared" si="3"/>
        <v>0.5</v>
      </c>
      <c r="AC39" s="44" t="b">
        <f t="shared" si="4"/>
        <v>1</v>
      </c>
      <c r="AD39" s="44" t="b">
        <f t="shared" si="5"/>
        <v>1</v>
      </c>
    </row>
    <row r="40" spans="1:30" ht="36.75" customHeight="1" x14ac:dyDescent="0.25">
      <c r="A40" s="155">
        <v>38</v>
      </c>
      <c r="B40" s="179">
        <v>65</v>
      </c>
      <c r="C40" s="144" t="s">
        <v>300</v>
      </c>
      <c r="D40" s="179" t="s">
        <v>270</v>
      </c>
      <c r="E40" s="179">
        <v>2062011</v>
      </c>
      <c r="F40" s="179" t="s">
        <v>334</v>
      </c>
      <c r="G40" s="193" t="s">
        <v>483</v>
      </c>
      <c r="H40" s="179" t="s">
        <v>83</v>
      </c>
      <c r="I40" s="148">
        <v>0.54500000000000004</v>
      </c>
      <c r="J40" s="179" t="s">
        <v>272</v>
      </c>
      <c r="K40" s="57">
        <v>4992829</v>
      </c>
      <c r="L40" s="151">
        <f t="shared" si="0"/>
        <v>2496414.5</v>
      </c>
      <c r="M40" s="57">
        <f t="shared" si="1"/>
        <v>2496414.5</v>
      </c>
      <c r="N40" s="152">
        <v>0.5</v>
      </c>
      <c r="O40" s="154">
        <v>0</v>
      </c>
      <c r="P40" s="154">
        <v>0</v>
      </c>
      <c r="Q40" s="154">
        <v>0</v>
      </c>
      <c r="R40" s="154">
        <v>0</v>
      </c>
      <c r="S40" s="154">
        <v>0</v>
      </c>
      <c r="T40" s="154">
        <v>0</v>
      </c>
      <c r="U40" s="154">
        <v>1500000</v>
      </c>
      <c r="V40" s="154">
        <v>150000</v>
      </c>
      <c r="W40" s="154">
        <v>846414.5</v>
      </c>
      <c r="X40" s="154">
        <v>0</v>
      </c>
      <c r="Y40" s="154">
        <v>0</v>
      </c>
      <c r="Z40" s="153">
        <v>0</v>
      </c>
      <c r="AA40" s="1" t="b">
        <f t="shared" si="2"/>
        <v>1</v>
      </c>
      <c r="AB40" s="43">
        <f t="shared" si="3"/>
        <v>0.5</v>
      </c>
      <c r="AC40" s="44" t="b">
        <f t="shared" si="4"/>
        <v>1</v>
      </c>
      <c r="AD40" s="44" t="b">
        <f t="shared" si="5"/>
        <v>1</v>
      </c>
    </row>
    <row r="41" spans="1:30" ht="36.75" customHeight="1" x14ac:dyDescent="0.25">
      <c r="A41" s="155">
        <v>39</v>
      </c>
      <c r="B41" s="179">
        <v>70</v>
      </c>
      <c r="C41" s="144" t="s">
        <v>300</v>
      </c>
      <c r="D41" s="179" t="s">
        <v>484</v>
      </c>
      <c r="E41" s="179">
        <v>2010052</v>
      </c>
      <c r="F41" s="179" t="s">
        <v>367</v>
      </c>
      <c r="G41" s="193" t="s">
        <v>485</v>
      </c>
      <c r="H41" s="179" t="s">
        <v>85</v>
      </c>
      <c r="I41" s="148">
        <v>0.52500000000000002</v>
      </c>
      <c r="J41" s="179" t="s">
        <v>486</v>
      </c>
      <c r="K41" s="57">
        <v>2500240</v>
      </c>
      <c r="L41" s="151">
        <f t="shared" si="0"/>
        <v>1250120</v>
      </c>
      <c r="M41" s="57">
        <f t="shared" si="1"/>
        <v>1250120</v>
      </c>
      <c r="N41" s="152">
        <v>0.5</v>
      </c>
      <c r="O41" s="154">
        <v>0</v>
      </c>
      <c r="P41" s="154">
        <v>0</v>
      </c>
      <c r="Q41" s="154">
        <v>0</v>
      </c>
      <c r="R41" s="154">
        <v>0</v>
      </c>
      <c r="S41" s="154">
        <v>0</v>
      </c>
      <c r="T41" s="154">
        <v>0</v>
      </c>
      <c r="U41" s="154">
        <v>120</v>
      </c>
      <c r="V41" s="154">
        <v>1250000</v>
      </c>
      <c r="W41" s="154">
        <v>0</v>
      </c>
      <c r="X41" s="154">
        <v>0</v>
      </c>
      <c r="Y41" s="154">
        <v>0</v>
      </c>
      <c r="Z41" s="153">
        <v>0</v>
      </c>
      <c r="AA41" s="1" t="b">
        <f t="shared" si="2"/>
        <v>1</v>
      </c>
      <c r="AB41" s="43">
        <f t="shared" si="3"/>
        <v>0.5</v>
      </c>
      <c r="AC41" s="44" t="b">
        <f t="shared" si="4"/>
        <v>1</v>
      </c>
      <c r="AD41" s="44" t="b">
        <f t="shared" si="5"/>
        <v>1</v>
      </c>
    </row>
    <row r="42" spans="1:30" ht="36.75" customHeight="1" x14ac:dyDescent="0.25">
      <c r="A42" s="195">
        <v>40</v>
      </c>
      <c r="B42" s="182">
        <v>301</v>
      </c>
      <c r="C42" s="142" t="s">
        <v>299</v>
      </c>
      <c r="D42" s="182" t="s">
        <v>169</v>
      </c>
      <c r="E42" s="182">
        <v>2002082</v>
      </c>
      <c r="F42" s="182" t="s">
        <v>306</v>
      </c>
      <c r="G42" s="192" t="s">
        <v>487</v>
      </c>
      <c r="H42" s="182" t="s">
        <v>85</v>
      </c>
      <c r="I42" s="187">
        <v>0.48699999999999999</v>
      </c>
      <c r="J42" s="182" t="s">
        <v>221</v>
      </c>
      <c r="K42" s="188">
        <v>1321733.76</v>
      </c>
      <c r="L42" s="191">
        <f t="shared" si="0"/>
        <v>660866.88</v>
      </c>
      <c r="M42" s="188">
        <f t="shared" si="1"/>
        <v>660866.88</v>
      </c>
      <c r="N42" s="186">
        <v>0.5</v>
      </c>
      <c r="O42" s="230">
        <v>0</v>
      </c>
      <c r="P42" s="230">
        <v>0</v>
      </c>
      <c r="Q42" s="230">
        <v>0</v>
      </c>
      <c r="R42" s="230">
        <v>0</v>
      </c>
      <c r="S42" s="230">
        <v>0</v>
      </c>
      <c r="T42" s="230">
        <v>0</v>
      </c>
      <c r="U42" s="216">
        <f t="shared" ref="U42:U46" si="8">L42</f>
        <v>660866.88</v>
      </c>
      <c r="V42" s="216">
        <v>0</v>
      </c>
      <c r="W42" s="216">
        <v>0</v>
      </c>
      <c r="X42" s="216">
        <v>0</v>
      </c>
      <c r="Y42" s="216">
        <v>0</v>
      </c>
      <c r="Z42" s="230">
        <v>0</v>
      </c>
      <c r="AA42" s="1" t="b">
        <f t="shared" si="2"/>
        <v>1</v>
      </c>
      <c r="AB42" s="43">
        <f t="shared" si="3"/>
        <v>0.5</v>
      </c>
      <c r="AC42" s="44" t="b">
        <f t="shared" si="4"/>
        <v>1</v>
      </c>
      <c r="AD42" s="44" t="b">
        <f t="shared" si="5"/>
        <v>1</v>
      </c>
    </row>
    <row r="43" spans="1:30" ht="36.75" customHeight="1" x14ac:dyDescent="0.25">
      <c r="A43" s="195">
        <v>41</v>
      </c>
      <c r="B43" s="182">
        <v>286</v>
      </c>
      <c r="C43" s="142" t="s">
        <v>299</v>
      </c>
      <c r="D43" s="182" t="s">
        <v>477</v>
      </c>
      <c r="E43" s="182">
        <v>2007052</v>
      </c>
      <c r="F43" s="182" t="s">
        <v>334</v>
      </c>
      <c r="G43" s="192" t="s">
        <v>488</v>
      </c>
      <c r="H43" s="182" t="s">
        <v>87</v>
      </c>
      <c r="I43" s="187">
        <v>0.40500000000000003</v>
      </c>
      <c r="J43" s="182" t="s">
        <v>489</v>
      </c>
      <c r="K43" s="188">
        <v>1758092.89</v>
      </c>
      <c r="L43" s="191">
        <f t="shared" si="0"/>
        <v>879046.44</v>
      </c>
      <c r="M43" s="188">
        <f t="shared" si="1"/>
        <v>879046.45</v>
      </c>
      <c r="N43" s="186">
        <v>0.5</v>
      </c>
      <c r="O43" s="230">
        <v>0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16">
        <f t="shared" si="8"/>
        <v>879046.44</v>
      </c>
      <c r="V43" s="216">
        <v>0</v>
      </c>
      <c r="W43" s="216">
        <v>0</v>
      </c>
      <c r="X43" s="216">
        <v>0</v>
      </c>
      <c r="Y43" s="216">
        <v>0</v>
      </c>
      <c r="Z43" s="230">
        <v>0</v>
      </c>
      <c r="AA43" s="1" t="b">
        <f t="shared" si="2"/>
        <v>1</v>
      </c>
      <c r="AB43" s="43">
        <f t="shared" si="3"/>
        <v>0.5</v>
      </c>
      <c r="AC43" s="44" t="b">
        <f t="shared" si="4"/>
        <v>1</v>
      </c>
      <c r="AD43" s="44" t="b">
        <f t="shared" si="5"/>
        <v>1</v>
      </c>
    </row>
    <row r="44" spans="1:30" ht="36.75" customHeight="1" x14ac:dyDescent="0.25">
      <c r="A44" s="195">
        <v>42</v>
      </c>
      <c r="B44" s="182">
        <v>178</v>
      </c>
      <c r="C44" s="142" t="s">
        <v>299</v>
      </c>
      <c r="D44" s="182" t="s">
        <v>399</v>
      </c>
      <c r="E44" s="182">
        <v>2007022</v>
      </c>
      <c r="F44" s="182" t="s">
        <v>334</v>
      </c>
      <c r="G44" s="192" t="s">
        <v>490</v>
      </c>
      <c r="H44" s="182" t="s">
        <v>83</v>
      </c>
      <c r="I44" s="187">
        <v>0.28499999999999998</v>
      </c>
      <c r="J44" s="182" t="s">
        <v>274</v>
      </c>
      <c r="K44" s="188">
        <v>2002000</v>
      </c>
      <c r="L44" s="191">
        <f t="shared" si="0"/>
        <v>1001000</v>
      </c>
      <c r="M44" s="188">
        <f t="shared" si="1"/>
        <v>1001000</v>
      </c>
      <c r="N44" s="186">
        <v>0.5</v>
      </c>
      <c r="O44" s="230">
        <v>0</v>
      </c>
      <c r="P44" s="230">
        <v>0</v>
      </c>
      <c r="Q44" s="230">
        <v>0</v>
      </c>
      <c r="R44" s="230">
        <v>0</v>
      </c>
      <c r="S44" s="230">
        <v>0</v>
      </c>
      <c r="T44" s="230">
        <v>0</v>
      </c>
      <c r="U44" s="216">
        <f t="shared" si="8"/>
        <v>1001000</v>
      </c>
      <c r="V44" s="216">
        <v>0</v>
      </c>
      <c r="W44" s="216">
        <v>0</v>
      </c>
      <c r="X44" s="216">
        <v>0</v>
      </c>
      <c r="Y44" s="216">
        <v>0</v>
      </c>
      <c r="Z44" s="230">
        <v>0</v>
      </c>
      <c r="AA44" s="1" t="b">
        <f t="shared" si="2"/>
        <v>1</v>
      </c>
      <c r="AB44" s="43">
        <f t="shared" si="3"/>
        <v>0.5</v>
      </c>
      <c r="AC44" s="44" t="b">
        <f t="shared" si="4"/>
        <v>1</v>
      </c>
      <c r="AD44" s="44" t="b">
        <f t="shared" si="5"/>
        <v>1</v>
      </c>
    </row>
    <row r="45" spans="1:30" ht="36.75" customHeight="1" x14ac:dyDescent="0.25">
      <c r="A45" s="142">
        <v>43</v>
      </c>
      <c r="B45" s="142">
        <v>93</v>
      </c>
      <c r="C45" s="142" t="s">
        <v>299</v>
      </c>
      <c r="D45" s="142" t="s">
        <v>72</v>
      </c>
      <c r="E45" s="142">
        <v>2010011</v>
      </c>
      <c r="F45" s="142" t="s">
        <v>367</v>
      </c>
      <c r="G45" s="194" t="s">
        <v>491</v>
      </c>
      <c r="H45" s="195" t="s">
        <v>87</v>
      </c>
      <c r="I45" s="185">
        <v>0.248</v>
      </c>
      <c r="J45" s="182" t="s">
        <v>304</v>
      </c>
      <c r="K45" s="191">
        <v>296718.71999999997</v>
      </c>
      <c r="L45" s="191">
        <f t="shared" si="0"/>
        <v>148359.35999999999</v>
      </c>
      <c r="M45" s="191">
        <f t="shared" si="1"/>
        <v>148359.35999999999</v>
      </c>
      <c r="N45" s="186">
        <v>0.5</v>
      </c>
      <c r="O45" s="230">
        <v>0</v>
      </c>
      <c r="P45" s="230">
        <v>0</v>
      </c>
      <c r="Q45" s="230">
        <v>0</v>
      </c>
      <c r="R45" s="230">
        <v>0</v>
      </c>
      <c r="S45" s="230">
        <v>0</v>
      </c>
      <c r="T45" s="230">
        <v>0</v>
      </c>
      <c r="U45" s="216">
        <f t="shared" si="8"/>
        <v>148359.35999999999</v>
      </c>
      <c r="V45" s="216">
        <v>0</v>
      </c>
      <c r="W45" s="216">
        <v>0</v>
      </c>
      <c r="X45" s="216">
        <v>0</v>
      </c>
      <c r="Y45" s="216">
        <v>0</v>
      </c>
      <c r="Z45" s="216">
        <v>0</v>
      </c>
      <c r="AA45" s="1" t="b">
        <f t="shared" si="2"/>
        <v>1</v>
      </c>
      <c r="AB45" s="43">
        <f t="shared" si="3"/>
        <v>0.5</v>
      </c>
      <c r="AC45" s="44" t="b">
        <f t="shared" si="4"/>
        <v>1</v>
      </c>
      <c r="AD45" s="44" t="b">
        <f t="shared" si="5"/>
        <v>1</v>
      </c>
    </row>
    <row r="46" spans="1:30" ht="36.75" customHeight="1" x14ac:dyDescent="0.25">
      <c r="A46" s="195">
        <v>44</v>
      </c>
      <c r="B46" s="182">
        <v>388</v>
      </c>
      <c r="C46" s="142" t="s">
        <v>299</v>
      </c>
      <c r="D46" s="182" t="s">
        <v>71</v>
      </c>
      <c r="E46" s="182">
        <v>2009011</v>
      </c>
      <c r="F46" s="182" t="s">
        <v>345</v>
      </c>
      <c r="G46" s="192" t="s">
        <v>492</v>
      </c>
      <c r="H46" s="182" t="s">
        <v>83</v>
      </c>
      <c r="I46" s="187">
        <v>0.218</v>
      </c>
      <c r="J46" s="182" t="s">
        <v>493</v>
      </c>
      <c r="K46" s="188">
        <v>1549387.78</v>
      </c>
      <c r="L46" s="191">
        <f t="shared" si="0"/>
        <v>774693.89</v>
      </c>
      <c r="M46" s="188">
        <f t="shared" si="1"/>
        <v>774693.89</v>
      </c>
      <c r="N46" s="186">
        <v>0.5</v>
      </c>
      <c r="O46" s="230">
        <v>0</v>
      </c>
      <c r="P46" s="230">
        <v>0</v>
      </c>
      <c r="Q46" s="230">
        <v>0</v>
      </c>
      <c r="R46" s="230">
        <v>0</v>
      </c>
      <c r="S46" s="230">
        <v>0</v>
      </c>
      <c r="T46" s="230">
        <v>0</v>
      </c>
      <c r="U46" s="216">
        <f t="shared" si="8"/>
        <v>774693.89</v>
      </c>
      <c r="V46" s="216">
        <v>0</v>
      </c>
      <c r="W46" s="216">
        <v>0</v>
      </c>
      <c r="X46" s="216">
        <v>0</v>
      </c>
      <c r="Y46" s="216">
        <v>0</v>
      </c>
      <c r="Z46" s="230">
        <v>0</v>
      </c>
      <c r="AA46" s="1" t="b">
        <f t="shared" si="2"/>
        <v>1</v>
      </c>
      <c r="AB46" s="43">
        <f t="shared" si="3"/>
        <v>0.5</v>
      </c>
      <c r="AC46" s="44" t="b">
        <f t="shared" si="4"/>
        <v>1</v>
      </c>
      <c r="AD46" s="44" t="b">
        <f t="shared" si="5"/>
        <v>1</v>
      </c>
    </row>
    <row r="47" spans="1:30" ht="36.75" customHeight="1" x14ac:dyDescent="0.25">
      <c r="A47" s="155">
        <v>45</v>
      </c>
      <c r="B47" s="179">
        <v>224</v>
      </c>
      <c r="C47" s="144" t="s">
        <v>300</v>
      </c>
      <c r="D47" s="179" t="s">
        <v>146</v>
      </c>
      <c r="E47" s="179">
        <v>2003052</v>
      </c>
      <c r="F47" s="179" t="s">
        <v>323</v>
      </c>
      <c r="G47" s="193" t="s">
        <v>494</v>
      </c>
      <c r="H47" s="179" t="s">
        <v>87</v>
      </c>
      <c r="I47" s="148">
        <v>0.16</v>
      </c>
      <c r="J47" s="179" t="s">
        <v>495</v>
      </c>
      <c r="K47" s="57">
        <v>95000</v>
      </c>
      <c r="L47" s="151">
        <f t="shared" si="0"/>
        <v>47500</v>
      </c>
      <c r="M47" s="57">
        <f t="shared" si="1"/>
        <v>47500</v>
      </c>
      <c r="N47" s="152">
        <v>0.5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4">
        <v>42750</v>
      </c>
      <c r="V47" s="154">
        <v>4750</v>
      </c>
      <c r="W47" s="154">
        <v>0</v>
      </c>
      <c r="X47" s="154">
        <v>0</v>
      </c>
      <c r="Y47" s="154">
        <v>0</v>
      </c>
      <c r="Z47" s="153">
        <v>0</v>
      </c>
      <c r="AA47" s="1" t="b">
        <f t="shared" si="2"/>
        <v>1</v>
      </c>
      <c r="AB47" s="43">
        <f t="shared" si="3"/>
        <v>0.5</v>
      </c>
      <c r="AC47" s="44" t="b">
        <f t="shared" si="4"/>
        <v>1</v>
      </c>
      <c r="AD47" s="44" t="b">
        <f t="shared" si="5"/>
        <v>1</v>
      </c>
    </row>
    <row r="48" spans="1:30" ht="36.75" customHeight="1" x14ac:dyDescent="0.25">
      <c r="A48" s="155">
        <v>46</v>
      </c>
      <c r="B48" s="179">
        <v>370</v>
      </c>
      <c r="C48" s="144" t="s">
        <v>300</v>
      </c>
      <c r="D48" s="179" t="s">
        <v>496</v>
      </c>
      <c r="E48" s="179">
        <v>2014032</v>
      </c>
      <c r="F48" s="179" t="s">
        <v>302</v>
      </c>
      <c r="G48" s="193" t="s">
        <v>497</v>
      </c>
      <c r="H48" s="179" t="s">
        <v>85</v>
      </c>
      <c r="I48" s="148">
        <v>3.36</v>
      </c>
      <c r="J48" s="179" t="s">
        <v>498</v>
      </c>
      <c r="K48" s="57">
        <v>8740278.3699999992</v>
      </c>
      <c r="L48" s="151">
        <f t="shared" si="0"/>
        <v>4370139.18</v>
      </c>
      <c r="M48" s="57">
        <f t="shared" si="1"/>
        <v>4370139.1899999995</v>
      </c>
      <c r="N48" s="152">
        <v>0.5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4">
        <v>2153493</v>
      </c>
      <c r="V48" s="154">
        <v>2216646.1800000002</v>
      </c>
      <c r="W48" s="154">
        <v>0</v>
      </c>
      <c r="X48" s="154">
        <v>0</v>
      </c>
      <c r="Y48" s="154">
        <v>0</v>
      </c>
      <c r="Z48" s="153">
        <v>0</v>
      </c>
      <c r="AA48" s="1" t="b">
        <f t="shared" si="2"/>
        <v>1</v>
      </c>
      <c r="AB48" s="43">
        <f t="shared" si="3"/>
        <v>0.5</v>
      </c>
      <c r="AC48" s="44" t="b">
        <f t="shared" si="4"/>
        <v>1</v>
      </c>
      <c r="AD48" s="44" t="b">
        <f t="shared" si="5"/>
        <v>1</v>
      </c>
    </row>
    <row r="49" spans="1:30" ht="36.75" customHeight="1" x14ac:dyDescent="0.25">
      <c r="A49" s="195">
        <v>47</v>
      </c>
      <c r="B49" s="182">
        <v>61</v>
      </c>
      <c r="C49" s="142" t="s">
        <v>299</v>
      </c>
      <c r="D49" s="182" t="s">
        <v>429</v>
      </c>
      <c r="E49" s="182">
        <v>2012082</v>
      </c>
      <c r="F49" s="182" t="s">
        <v>352</v>
      </c>
      <c r="G49" s="192" t="s">
        <v>499</v>
      </c>
      <c r="H49" s="182" t="s">
        <v>83</v>
      </c>
      <c r="I49" s="187">
        <v>2</v>
      </c>
      <c r="J49" s="182" t="s">
        <v>230</v>
      </c>
      <c r="K49" s="188">
        <v>2800000</v>
      </c>
      <c r="L49" s="191">
        <f t="shared" si="0"/>
        <v>1400000</v>
      </c>
      <c r="M49" s="188">
        <f t="shared" si="1"/>
        <v>1400000</v>
      </c>
      <c r="N49" s="186">
        <v>0.5</v>
      </c>
      <c r="O49" s="216">
        <v>0</v>
      </c>
      <c r="P49" s="216">
        <v>0</v>
      </c>
      <c r="Q49" s="216">
        <v>0</v>
      </c>
      <c r="R49" s="216">
        <v>0</v>
      </c>
      <c r="S49" s="216">
        <v>0</v>
      </c>
      <c r="T49" s="216">
        <v>0</v>
      </c>
      <c r="U49" s="216">
        <f>L49</f>
        <v>1400000</v>
      </c>
      <c r="V49" s="216">
        <v>0</v>
      </c>
      <c r="W49" s="216">
        <v>0</v>
      </c>
      <c r="X49" s="216">
        <v>0</v>
      </c>
      <c r="Y49" s="216">
        <v>0</v>
      </c>
      <c r="Z49" s="230">
        <v>0</v>
      </c>
      <c r="AA49" s="1" t="b">
        <f t="shared" si="2"/>
        <v>1</v>
      </c>
      <c r="AB49" s="43">
        <f t="shared" si="3"/>
        <v>0.5</v>
      </c>
      <c r="AC49" s="44" t="b">
        <f t="shared" si="4"/>
        <v>1</v>
      </c>
      <c r="AD49" s="44" t="b">
        <f t="shared" si="5"/>
        <v>1</v>
      </c>
    </row>
    <row r="50" spans="1:30" ht="36.75" customHeight="1" x14ac:dyDescent="0.25">
      <c r="A50" s="297" t="s">
        <v>505</v>
      </c>
      <c r="B50" s="182">
        <v>249</v>
      </c>
      <c r="C50" s="142" t="s">
        <v>299</v>
      </c>
      <c r="D50" s="182" t="s">
        <v>471</v>
      </c>
      <c r="E50" s="182">
        <v>2008072</v>
      </c>
      <c r="F50" s="182" t="s">
        <v>438</v>
      </c>
      <c r="G50" s="192" t="s">
        <v>500</v>
      </c>
      <c r="H50" s="182" t="s">
        <v>83</v>
      </c>
      <c r="I50" s="187">
        <v>2</v>
      </c>
      <c r="J50" s="182" t="s">
        <v>378</v>
      </c>
      <c r="K50" s="188">
        <v>3887159.19</v>
      </c>
      <c r="L50" s="191">
        <f>ROUNDDOWN(K50*N50,2)-1602133.52</f>
        <v>341446.07000000007</v>
      </c>
      <c r="M50" s="188">
        <f t="shared" si="1"/>
        <v>3545713.12</v>
      </c>
      <c r="N50" s="186">
        <v>0.5</v>
      </c>
      <c r="O50" s="216">
        <v>0</v>
      </c>
      <c r="P50" s="216">
        <v>0</v>
      </c>
      <c r="Q50" s="216">
        <v>0</v>
      </c>
      <c r="R50" s="216">
        <v>0</v>
      </c>
      <c r="S50" s="216">
        <v>0</v>
      </c>
      <c r="T50" s="216">
        <v>0</v>
      </c>
      <c r="U50" s="216">
        <f>L50</f>
        <v>341446.07000000007</v>
      </c>
      <c r="V50" s="216">
        <v>0</v>
      </c>
      <c r="W50" s="216">
        <v>0</v>
      </c>
      <c r="X50" s="216">
        <v>0</v>
      </c>
      <c r="Y50" s="216">
        <v>0</v>
      </c>
      <c r="Z50" s="230">
        <v>0</v>
      </c>
      <c r="AA50" s="1" t="b">
        <f t="shared" si="2"/>
        <v>1</v>
      </c>
      <c r="AB50" s="43">
        <f t="shared" si="3"/>
        <v>8.7800000000000003E-2</v>
      </c>
      <c r="AC50" s="44" t="b">
        <f t="shared" si="4"/>
        <v>0</v>
      </c>
      <c r="AD50" s="44" t="b">
        <f t="shared" si="5"/>
        <v>1</v>
      </c>
    </row>
    <row r="51" spans="1:30" ht="20.100000000000001" customHeight="1" x14ac:dyDescent="0.25">
      <c r="A51" s="371" t="s">
        <v>44</v>
      </c>
      <c r="B51" s="371"/>
      <c r="C51" s="371"/>
      <c r="D51" s="371"/>
      <c r="E51" s="371"/>
      <c r="F51" s="371"/>
      <c r="G51" s="371"/>
      <c r="H51" s="371"/>
      <c r="I51" s="49">
        <f>SUM(I3:I50)</f>
        <v>46.274999999999999</v>
      </c>
      <c r="J51" s="50" t="s">
        <v>14</v>
      </c>
      <c r="K51" s="51">
        <f>SUM(K3:K50)</f>
        <v>205852850.66999999</v>
      </c>
      <c r="L51" s="52">
        <f>SUM(L3:L50)</f>
        <v>101324291.76999998</v>
      </c>
      <c r="M51" s="52">
        <f>SUM(M3:M50)</f>
        <v>104528558.89999999</v>
      </c>
      <c r="N51" s="53" t="s">
        <v>14</v>
      </c>
      <c r="O51" s="61">
        <f t="shared" ref="O51:Z51" si="9">SUM(O3:O50)</f>
        <v>0</v>
      </c>
      <c r="P51" s="61">
        <f t="shared" si="9"/>
        <v>0</v>
      </c>
      <c r="Q51" s="61">
        <f t="shared" si="9"/>
        <v>0</v>
      </c>
      <c r="R51" s="61">
        <f t="shared" si="9"/>
        <v>0</v>
      </c>
      <c r="S51" s="61">
        <f t="shared" si="9"/>
        <v>0</v>
      </c>
      <c r="T51" s="61">
        <f t="shared" si="9"/>
        <v>0</v>
      </c>
      <c r="U51" s="61">
        <f t="shared" si="9"/>
        <v>75429631.429999977</v>
      </c>
      <c r="V51" s="61">
        <f t="shared" si="9"/>
        <v>15053412.52</v>
      </c>
      <c r="W51" s="61">
        <f t="shared" si="9"/>
        <v>10841247.82</v>
      </c>
      <c r="X51" s="61">
        <f t="shared" si="9"/>
        <v>0</v>
      </c>
      <c r="Y51" s="61">
        <f t="shared" si="9"/>
        <v>0</v>
      </c>
      <c r="Z51" s="61">
        <f t="shared" si="9"/>
        <v>0</v>
      </c>
      <c r="AA51" s="1" t="b">
        <f t="shared" ref="AA51:AA53" si="10">L51=SUM(O51:Z51)</f>
        <v>1</v>
      </c>
      <c r="AB51" s="43">
        <f>ROUND(L51/K51,4)</f>
        <v>0.49220000000000003</v>
      </c>
      <c r="AC51" s="44" t="s">
        <v>14</v>
      </c>
      <c r="AD51" s="44" t="b">
        <f t="shared" ref="AD51" si="11">K51=L51+M51</f>
        <v>1</v>
      </c>
    </row>
    <row r="52" spans="1:30" ht="20.100000000000001" customHeight="1" x14ac:dyDescent="0.25">
      <c r="A52" s="363" t="s">
        <v>38</v>
      </c>
      <c r="B52" s="364"/>
      <c r="C52" s="364"/>
      <c r="D52" s="364"/>
      <c r="E52" s="364"/>
      <c r="F52" s="364"/>
      <c r="G52" s="364"/>
      <c r="H52" s="365"/>
      <c r="I52" s="49">
        <f>SUMIF($C$3:$C$50,"N",I3:I50)</f>
        <v>35.462000000000003</v>
      </c>
      <c r="J52" s="50" t="s">
        <v>14</v>
      </c>
      <c r="K52" s="51">
        <f>SUMIF($C$3:$C$50,"N",K3:K50)</f>
        <v>131140694.3</v>
      </c>
      <c r="L52" s="52">
        <f>SUMIF($C$3:$C$50,"N",L3:L50)</f>
        <v>63968213.590000004</v>
      </c>
      <c r="M52" s="52">
        <f>SUMIF($C$3:$C$50,"N",M3:M50)</f>
        <v>67172480.710000008</v>
      </c>
      <c r="N52" s="53" t="s">
        <v>14</v>
      </c>
      <c r="O52" s="61">
        <f t="shared" ref="O52:Z52" si="12">SUMIF($C$3:$C$50,"N",O3:O50)</f>
        <v>0</v>
      </c>
      <c r="P52" s="61">
        <f t="shared" si="12"/>
        <v>0</v>
      </c>
      <c r="Q52" s="61">
        <f t="shared" si="12"/>
        <v>0</v>
      </c>
      <c r="R52" s="61">
        <f t="shared" si="12"/>
        <v>0</v>
      </c>
      <c r="S52" s="61">
        <f t="shared" si="12"/>
        <v>0</v>
      </c>
      <c r="T52" s="61">
        <f t="shared" si="12"/>
        <v>0</v>
      </c>
      <c r="U52" s="61">
        <f t="shared" si="12"/>
        <v>63968213.590000004</v>
      </c>
      <c r="V52" s="61">
        <f t="shared" si="12"/>
        <v>0</v>
      </c>
      <c r="W52" s="61">
        <f t="shared" si="12"/>
        <v>0</v>
      </c>
      <c r="X52" s="61">
        <f t="shared" si="12"/>
        <v>0</v>
      </c>
      <c r="Y52" s="61">
        <f t="shared" si="12"/>
        <v>0</v>
      </c>
      <c r="Z52" s="61">
        <f t="shared" si="12"/>
        <v>0</v>
      </c>
      <c r="AA52" s="1" t="b">
        <f t="shared" si="10"/>
        <v>1</v>
      </c>
      <c r="AB52" s="43">
        <f t="shared" ref="AB52" si="13">ROUND(L52/K52,4)</f>
        <v>0.48780000000000001</v>
      </c>
      <c r="AC52" s="44" t="s">
        <v>14</v>
      </c>
      <c r="AD52" s="44" t="b">
        <f t="shared" ref="AD52" si="14">K52=L52+M52</f>
        <v>1</v>
      </c>
    </row>
    <row r="53" spans="1:30" ht="20.100000000000001" customHeight="1" x14ac:dyDescent="0.25">
      <c r="A53" s="369" t="s">
        <v>39</v>
      </c>
      <c r="B53" s="369"/>
      <c r="C53" s="369"/>
      <c r="D53" s="369"/>
      <c r="E53" s="369"/>
      <c r="F53" s="369"/>
      <c r="G53" s="369"/>
      <c r="H53" s="369"/>
      <c r="I53" s="55">
        <f>SUMIF($C$3:$C$50,"W",I3:I50)</f>
        <v>10.812999999999999</v>
      </c>
      <c r="J53" s="56" t="s">
        <v>14</v>
      </c>
      <c r="K53" s="57">
        <f>SUMIF($C$3:$C$50,"W",K3:K50)</f>
        <v>74712156.370000005</v>
      </c>
      <c r="L53" s="58">
        <f>SUMIF($C$3:$C$50,"W",L3:L50)</f>
        <v>37356078.18</v>
      </c>
      <c r="M53" s="58">
        <f>SUMIF($C$3:$C$50,"W",M3:M50)</f>
        <v>37356078.189999998</v>
      </c>
      <c r="N53" s="59" t="s">
        <v>14</v>
      </c>
      <c r="O53" s="62">
        <f t="shared" ref="O53:Z53" si="15">SUMIF($C$3:$C$50,"W",O3:O50)</f>
        <v>0</v>
      </c>
      <c r="P53" s="62">
        <f t="shared" si="15"/>
        <v>0</v>
      </c>
      <c r="Q53" s="62">
        <f t="shared" si="15"/>
        <v>0</v>
      </c>
      <c r="R53" s="62">
        <f t="shared" si="15"/>
        <v>0</v>
      </c>
      <c r="S53" s="62">
        <f t="shared" si="15"/>
        <v>0</v>
      </c>
      <c r="T53" s="62">
        <f t="shared" si="15"/>
        <v>0</v>
      </c>
      <c r="U53" s="62">
        <f t="shared" si="15"/>
        <v>11461417.84</v>
      </c>
      <c r="V53" s="62">
        <f t="shared" si="15"/>
        <v>15053412.52</v>
      </c>
      <c r="W53" s="62">
        <f t="shared" si="15"/>
        <v>10841247.82</v>
      </c>
      <c r="X53" s="62">
        <f t="shared" si="15"/>
        <v>0</v>
      </c>
      <c r="Y53" s="62">
        <f t="shared" si="15"/>
        <v>0</v>
      </c>
      <c r="Z53" s="62">
        <f t="shared" si="15"/>
        <v>0</v>
      </c>
      <c r="AA53" s="1" t="b">
        <f t="shared" si="10"/>
        <v>1</v>
      </c>
      <c r="AB53" s="43">
        <f t="shared" ref="AB53" si="16">ROUND(L53/K53,4)</f>
        <v>0.5</v>
      </c>
      <c r="AC53" s="44" t="s">
        <v>14</v>
      </c>
      <c r="AD53" s="44" t="b">
        <f t="shared" ref="AD53" si="17">K53=L53+M53</f>
        <v>1</v>
      </c>
    </row>
    <row r="54" spans="1:30" ht="4.5" customHeight="1" x14ac:dyDescent="0.25">
      <c r="A54" s="39"/>
      <c r="AD54" s="36"/>
    </row>
    <row r="55" spans="1:30" x14ac:dyDescent="0.25">
      <c r="A55" s="33" t="s">
        <v>24</v>
      </c>
    </row>
    <row r="56" spans="1:30" x14ac:dyDescent="0.25">
      <c r="A56" s="34" t="s">
        <v>25</v>
      </c>
    </row>
    <row r="57" spans="1:30" x14ac:dyDescent="0.25">
      <c r="A57" s="33" t="s">
        <v>35</v>
      </c>
    </row>
    <row r="58" spans="1:30" x14ac:dyDescent="0.2">
      <c r="A58" s="358" t="s">
        <v>502</v>
      </c>
      <c r="B58" s="358"/>
      <c r="C58" s="358"/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</row>
  </sheetData>
  <mergeCells count="19">
    <mergeCell ref="A1:A2"/>
    <mergeCell ref="B1:B2"/>
    <mergeCell ref="C1:C2"/>
    <mergeCell ref="F1:F2"/>
    <mergeCell ref="G1:G2"/>
    <mergeCell ref="H1:H2"/>
    <mergeCell ref="A58:R58"/>
    <mergeCell ref="A52:H52"/>
    <mergeCell ref="D1:D2"/>
    <mergeCell ref="A53:H53"/>
    <mergeCell ref="E1:E2"/>
    <mergeCell ref="O1:Z1"/>
    <mergeCell ref="M1:M2"/>
    <mergeCell ref="N1:N2"/>
    <mergeCell ref="A51:H51"/>
    <mergeCell ref="I1:I2"/>
    <mergeCell ref="J1:J2"/>
    <mergeCell ref="K1:K2"/>
    <mergeCell ref="L1:L2"/>
  </mergeCells>
  <conditionalFormatting sqref="AD54 AB3:AD51 AA3:AA53">
    <cfRule type="cellIs" dxfId="9" priority="20" operator="equal">
      <formula>FALSE</formula>
    </cfRule>
  </conditionalFormatting>
  <conditionalFormatting sqref="AA3:AC50 AB51:AC51 AA51:AA53">
    <cfRule type="containsText" dxfId="8" priority="13" operator="containsText" text="fałsz">
      <formula>NOT(ISERROR(SEARCH("fałsz",AA3)))</formula>
    </cfRule>
  </conditionalFormatting>
  <conditionalFormatting sqref="AB53:AC53">
    <cfRule type="cellIs" dxfId="7" priority="10" operator="equal">
      <formula>FALSE</formula>
    </cfRule>
  </conditionalFormatting>
  <conditionalFormatting sqref="AB53:AC53">
    <cfRule type="containsText" dxfId="6" priority="8" operator="containsText" text="fałsz">
      <formula>NOT(ISERROR(SEARCH("fałsz",AB53)))</formula>
    </cfRule>
  </conditionalFormatting>
  <conditionalFormatting sqref="AD53">
    <cfRule type="cellIs" dxfId="5" priority="7" operator="equal">
      <formula>FALSE</formula>
    </cfRule>
  </conditionalFormatting>
  <conditionalFormatting sqref="AD53">
    <cfRule type="cellIs" dxfId="4" priority="6" operator="equal">
      <formula>FALSE</formula>
    </cfRule>
  </conditionalFormatting>
  <conditionalFormatting sqref="AB52:AC52">
    <cfRule type="containsText" dxfId="3" priority="3" operator="containsText" text="fałsz">
      <formula>NOT(ISERROR(SEARCH("fałsz",AB52)))</formula>
    </cfRule>
  </conditionalFormatting>
  <conditionalFormatting sqref="AB52:AC52">
    <cfRule type="cellIs" dxfId="2" priority="5" operator="equal">
      <formula>FALSE</formula>
    </cfRule>
  </conditionalFormatting>
  <conditionalFormatting sqref="AD52">
    <cfRule type="cellIs" dxfId="1" priority="2" operator="equal">
      <formula>FALSE</formula>
    </cfRule>
  </conditionalFormatting>
  <conditionalFormatting sqref="AD52">
    <cfRule type="cellIs" dxfId="0" priority="1" operator="equal">
      <formula>FALSE</formula>
    </cfRule>
  </conditionalFormatting>
  <dataValidations count="1">
    <dataValidation type="list" allowBlank="1" showInputMessage="1" showErrorMessage="1" sqref="C13:C18 C33:C50 C3:C11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6" fitToHeight="0" orientation="landscape" r:id="rId1"/>
  <headerFooter>
    <oddHeader>&amp;LWojewództwo podlaskie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Grzegorczuk Katarzyna</cp:lastModifiedBy>
  <cp:lastPrinted>2024-12-05T07:16:49Z</cp:lastPrinted>
  <dcterms:created xsi:type="dcterms:W3CDTF">2019-02-25T10:53:14Z</dcterms:created>
  <dcterms:modified xsi:type="dcterms:W3CDTF">2025-01-23T14:31:37Z</dcterms:modified>
</cp:coreProperties>
</file>