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678E4355-F2F9-4B54-8029-3B44105C0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 l="1"/>
  <c r="A85" i="7" l="1"/>
  <c r="A66" i="7"/>
  <c r="A1" i="7"/>
  <c r="A29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<sst xmlns="http://schemas.openxmlformats.org/spreadsheetml/2006/main" count="97" uniqueCount="81">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</sst>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2" fillId="0" borderId="15" xfId="37" applyNumberFormat="1" applyFont="1" applyFill="1" applyBorder="1" applyAlignment="1">
      <alignment horizontal="right" vertical="center" wrapText="1"/>
    </xf>
    <xf numFmtId="4" fontId="2" fillId="0" borderId="11" xfId="37" applyNumberFormat="1" applyFont="1" applyFill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3" fontId="2" fillId="0" borderId="15" xfId="37" applyNumberFormat="1" applyFont="1" applyFill="1" applyBorder="1" applyAlignment="1">
      <alignment horizontal="right" vertical="center" wrapText="1"/>
    </xf>
    <xf numFmtId="3" fontId="2" fillId="0" borderId="11" xfId="37" applyNumberFormat="1" applyFont="1" applyFill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3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" width="11.140625" style="2" customWidth="1"/>
    <col min="17" max="16384" width="9.140625" style="2"/>
  </cols>
  <sheetData>
    <row r="1" spans="1:17" ht="75" customHeight="1" x14ac:dyDescent="0.2">
      <c r="A1" s="30" t="str">
        <f>CONCATENATE("Informacja z wykonania budżetów województw za  ",$C$93," ",$B$94," roku    ",$B$96,"")</f>
        <v xml:space="preserve">Informacja z wykonania budżetów województw za  III Kwartały 2024 roku    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0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7" ht="13.5" customHeight="1" x14ac:dyDescent="0.2">
      <c r="B5" s="1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1"/>
      <c r="O5" s="11"/>
      <c r="P5" s="11"/>
      <c r="Q5" s="11"/>
    </row>
    <row r="6" spans="1:17" ht="13.5" customHeight="1" x14ac:dyDescent="0.2">
      <c r="A6" s="61" t="s">
        <v>0</v>
      </c>
      <c r="B6" s="31" t="s">
        <v>63</v>
      </c>
      <c r="C6" s="26" t="s">
        <v>67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6" t="s">
        <v>66</v>
      </c>
      <c r="P6" s="27"/>
      <c r="Q6" s="28"/>
    </row>
    <row r="7" spans="1:17" ht="13.5" customHeight="1" x14ac:dyDescent="0.2">
      <c r="A7" s="62"/>
      <c r="B7" s="32"/>
      <c r="C7" s="33" t="s">
        <v>64</v>
      </c>
      <c r="D7" s="33" t="s">
        <v>75</v>
      </c>
      <c r="E7" s="33" t="s">
        <v>68</v>
      </c>
      <c r="F7" s="33" t="s">
        <v>69</v>
      </c>
      <c r="G7" s="33" t="s">
        <v>27</v>
      </c>
      <c r="H7" s="33" t="s">
        <v>28</v>
      </c>
      <c r="I7" s="64" t="s">
        <v>65</v>
      </c>
      <c r="J7" s="33" t="s">
        <v>16</v>
      </c>
      <c r="K7" s="33" t="s">
        <v>17</v>
      </c>
      <c r="L7" s="33" t="s">
        <v>18</v>
      </c>
      <c r="M7" s="33" t="s">
        <v>19</v>
      </c>
      <c r="N7" s="32" t="s">
        <v>20</v>
      </c>
      <c r="O7" s="29" t="s">
        <v>21</v>
      </c>
      <c r="P7" s="29" t="s">
        <v>22</v>
      </c>
      <c r="Q7" s="29" t="s">
        <v>23</v>
      </c>
    </row>
    <row r="8" spans="1:17" ht="13.5" customHeight="1" x14ac:dyDescent="0.2">
      <c r="A8" s="62"/>
      <c r="B8" s="32"/>
      <c r="C8" s="29"/>
      <c r="D8" s="29"/>
      <c r="E8" s="29"/>
      <c r="F8" s="29"/>
      <c r="G8" s="29"/>
      <c r="H8" s="29"/>
      <c r="I8" s="64"/>
      <c r="J8" s="29"/>
      <c r="K8" s="29"/>
      <c r="L8" s="29"/>
      <c r="M8" s="29"/>
      <c r="N8" s="32"/>
      <c r="O8" s="29"/>
      <c r="P8" s="29"/>
      <c r="Q8" s="29"/>
    </row>
    <row r="9" spans="1:17" ht="11.25" customHeight="1" x14ac:dyDescent="0.2">
      <c r="A9" s="62"/>
      <c r="B9" s="32"/>
      <c r="C9" s="29"/>
      <c r="D9" s="29"/>
      <c r="E9" s="29"/>
      <c r="F9" s="29"/>
      <c r="G9" s="29"/>
      <c r="H9" s="29"/>
      <c r="I9" s="64"/>
      <c r="J9" s="29"/>
      <c r="K9" s="29"/>
      <c r="L9" s="29"/>
      <c r="M9" s="29"/>
      <c r="N9" s="32"/>
      <c r="O9" s="29"/>
      <c r="P9" s="29"/>
      <c r="Q9" s="29"/>
    </row>
    <row r="10" spans="1:17" ht="27.75" customHeight="1" x14ac:dyDescent="0.2">
      <c r="A10" s="63"/>
      <c r="B10" s="33"/>
      <c r="C10" s="29"/>
      <c r="D10" s="29"/>
      <c r="E10" s="29"/>
      <c r="F10" s="29"/>
      <c r="G10" s="29"/>
      <c r="H10" s="29"/>
      <c r="I10" s="65"/>
      <c r="J10" s="29"/>
      <c r="K10" s="29"/>
      <c r="L10" s="29"/>
      <c r="M10" s="29"/>
      <c r="N10" s="33"/>
      <c r="O10" s="29"/>
      <c r="P10" s="29"/>
      <c r="Q10" s="29"/>
    </row>
    <row r="11" spans="1:17" ht="1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3.5" customHeight="1" x14ac:dyDescent="0.2">
      <c r="A12" s="13"/>
      <c r="B12" s="69" t="s">
        <v>78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43.5" customHeight="1" x14ac:dyDescent="0.2">
      <c r="A13" s="19" t="s">
        <v>79</v>
      </c>
      <c r="B13" s="20">
        <f>4417512126.16</f>
        <v>4417512126.1599998</v>
      </c>
      <c r="C13" s="20">
        <f>2586559935.02</f>
        <v>2586559935.02</v>
      </c>
      <c r="D13" s="20">
        <f>159444456.45</f>
        <v>159444456.44999999</v>
      </c>
      <c r="E13" s="20">
        <f>158000000</f>
        <v>158000000</v>
      </c>
      <c r="F13" s="20">
        <f>0</f>
        <v>0</v>
      </c>
      <c r="G13" s="20">
        <f>1444456.45</f>
        <v>1444456.45</v>
      </c>
      <c r="H13" s="20">
        <f>0</f>
        <v>0</v>
      </c>
      <c r="I13" s="20">
        <f>0</f>
        <v>0</v>
      </c>
      <c r="J13" s="20">
        <f>2262401100.11</f>
        <v>2262401100.1100001</v>
      </c>
      <c r="K13" s="20">
        <f>0</f>
        <v>0</v>
      </c>
      <c r="L13" s="20">
        <f>164370586.46</f>
        <v>164370586.46000001</v>
      </c>
      <c r="M13" s="20">
        <f>336472.73</f>
        <v>336472.73</v>
      </c>
      <c r="N13" s="20">
        <f>7319.27</f>
        <v>7319.27</v>
      </c>
      <c r="O13" s="20">
        <f>1830952191.14</f>
        <v>1830952191.1400001</v>
      </c>
      <c r="P13" s="20">
        <f>1830952191.14</f>
        <v>1830952191.1400001</v>
      </c>
      <c r="Q13" s="20">
        <f>0</f>
        <v>0</v>
      </c>
    </row>
    <row r="14" spans="1:17" ht="28.5" customHeight="1" x14ac:dyDescent="0.2">
      <c r="A14" s="19" t="s">
        <v>45</v>
      </c>
      <c r="B14" s="20">
        <f>202950000</f>
        <v>202950000</v>
      </c>
      <c r="C14" s="20">
        <f>202950000</f>
        <v>202950000</v>
      </c>
      <c r="D14" s="20">
        <f>0</f>
        <v>0</v>
      </c>
      <c r="E14" s="20">
        <f>0</f>
        <v>0</v>
      </c>
      <c r="F14" s="20">
        <f>0</f>
        <v>0</v>
      </c>
      <c r="G14" s="20">
        <f>0</f>
        <v>0</v>
      </c>
      <c r="H14" s="20">
        <f>0</f>
        <v>0</v>
      </c>
      <c r="I14" s="20">
        <f>0</f>
        <v>0</v>
      </c>
      <c r="J14" s="20">
        <f>202950000</f>
        <v>202950000</v>
      </c>
      <c r="K14" s="20">
        <f>0</f>
        <v>0</v>
      </c>
      <c r="L14" s="20">
        <f>0</f>
        <v>0</v>
      </c>
      <c r="M14" s="20">
        <f>0</f>
        <v>0</v>
      </c>
      <c r="N14" s="20">
        <f>0</f>
        <v>0</v>
      </c>
      <c r="O14" s="20">
        <f>0</f>
        <v>0</v>
      </c>
      <c r="P14" s="20">
        <f>0</f>
        <v>0</v>
      </c>
      <c r="Q14" s="20">
        <f>0</f>
        <v>0</v>
      </c>
    </row>
    <row r="15" spans="1:17" ht="22.5" customHeight="1" x14ac:dyDescent="0.2">
      <c r="A15" s="17" t="s">
        <v>46</v>
      </c>
      <c r="B15" s="21">
        <f>0</f>
        <v>0</v>
      </c>
      <c r="C15" s="21">
        <f>0</f>
        <v>0</v>
      </c>
      <c r="D15" s="21">
        <f>0</f>
        <v>0</v>
      </c>
      <c r="E15" s="21">
        <f>0</f>
        <v>0</v>
      </c>
      <c r="F15" s="21">
        <f>0</f>
        <v>0</v>
      </c>
      <c r="G15" s="21">
        <f>0</f>
        <v>0</v>
      </c>
      <c r="H15" s="21">
        <f>0</f>
        <v>0</v>
      </c>
      <c r="I15" s="21">
        <f>0</f>
        <v>0</v>
      </c>
      <c r="J15" s="21">
        <f>0</f>
        <v>0</v>
      </c>
      <c r="K15" s="21">
        <f>0</f>
        <v>0</v>
      </c>
      <c r="L15" s="21">
        <f>0</f>
        <v>0</v>
      </c>
      <c r="M15" s="21">
        <f>0</f>
        <v>0</v>
      </c>
      <c r="N15" s="21">
        <f>0</f>
        <v>0</v>
      </c>
      <c r="O15" s="21">
        <f>0</f>
        <v>0</v>
      </c>
      <c r="P15" s="21">
        <f>0</f>
        <v>0</v>
      </c>
      <c r="Q15" s="21">
        <f>0</f>
        <v>0</v>
      </c>
    </row>
    <row r="16" spans="1:17" ht="22.5" customHeight="1" x14ac:dyDescent="0.2">
      <c r="A16" s="17" t="s">
        <v>47</v>
      </c>
      <c r="B16" s="21">
        <f>202950000</f>
        <v>202950000</v>
      </c>
      <c r="C16" s="21">
        <f>202950000</f>
        <v>202950000</v>
      </c>
      <c r="D16" s="21">
        <f>0</f>
        <v>0</v>
      </c>
      <c r="E16" s="21">
        <f>0</f>
        <v>0</v>
      </c>
      <c r="F16" s="21">
        <f>0</f>
        <v>0</v>
      </c>
      <c r="G16" s="21">
        <f>0</f>
        <v>0</v>
      </c>
      <c r="H16" s="21">
        <f>0</f>
        <v>0</v>
      </c>
      <c r="I16" s="21">
        <f>0</f>
        <v>0</v>
      </c>
      <c r="J16" s="21">
        <f>202950000</f>
        <v>202950000</v>
      </c>
      <c r="K16" s="21">
        <f>0</f>
        <v>0</v>
      </c>
      <c r="L16" s="21">
        <f>0</f>
        <v>0</v>
      </c>
      <c r="M16" s="21">
        <f>0</f>
        <v>0</v>
      </c>
      <c r="N16" s="21">
        <f>0</f>
        <v>0</v>
      </c>
      <c r="O16" s="21">
        <f>0</f>
        <v>0</v>
      </c>
      <c r="P16" s="21">
        <f>0</f>
        <v>0</v>
      </c>
      <c r="Q16" s="21">
        <f>0</f>
        <v>0</v>
      </c>
    </row>
    <row r="17" spans="1:17" ht="36" customHeight="1" x14ac:dyDescent="0.2">
      <c r="A17" s="19" t="s">
        <v>48</v>
      </c>
      <c r="B17" s="20">
        <f>4214093155.7</f>
        <v>4214093155.6999998</v>
      </c>
      <c r="C17" s="20">
        <f>2383140964.56</f>
        <v>2383140964.5599999</v>
      </c>
      <c r="D17" s="20">
        <f>159416264.45</f>
        <v>159416264.44999999</v>
      </c>
      <c r="E17" s="20">
        <f>158000000</f>
        <v>158000000</v>
      </c>
      <c r="F17" s="20">
        <f>0</f>
        <v>0</v>
      </c>
      <c r="G17" s="20">
        <f>1416264.45</f>
        <v>1416264.45</v>
      </c>
      <c r="H17" s="20">
        <f>0</f>
        <v>0</v>
      </c>
      <c r="I17" s="20">
        <f>0</f>
        <v>0</v>
      </c>
      <c r="J17" s="20">
        <f>2059451100.11</f>
        <v>2059451100.1099999</v>
      </c>
      <c r="K17" s="20">
        <f>0</f>
        <v>0</v>
      </c>
      <c r="L17" s="20">
        <f>164273600</f>
        <v>164273600</v>
      </c>
      <c r="M17" s="20">
        <f>0</f>
        <v>0</v>
      </c>
      <c r="N17" s="20">
        <f>0</f>
        <v>0</v>
      </c>
      <c r="O17" s="20">
        <f>1830952191.14</f>
        <v>1830952191.1400001</v>
      </c>
      <c r="P17" s="20">
        <f>1830952191.14</f>
        <v>1830952191.1400001</v>
      </c>
      <c r="Q17" s="20">
        <f>0</f>
        <v>0</v>
      </c>
    </row>
    <row r="18" spans="1:17" ht="22.5" customHeight="1" x14ac:dyDescent="0.2">
      <c r="A18" s="17" t="s">
        <v>49</v>
      </c>
      <c r="B18" s="21">
        <f>0</f>
        <v>0</v>
      </c>
      <c r="C18" s="21">
        <f>0</f>
        <v>0</v>
      </c>
      <c r="D18" s="21">
        <f>0</f>
        <v>0</v>
      </c>
      <c r="E18" s="21">
        <f>0</f>
        <v>0</v>
      </c>
      <c r="F18" s="21">
        <f>0</f>
        <v>0</v>
      </c>
      <c r="G18" s="21">
        <f>0</f>
        <v>0</v>
      </c>
      <c r="H18" s="21">
        <f>0</f>
        <v>0</v>
      </c>
      <c r="I18" s="21">
        <f>0</f>
        <v>0</v>
      </c>
      <c r="J18" s="21">
        <f>0</f>
        <v>0</v>
      </c>
      <c r="K18" s="21">
        <f>0</f>
        <v>0</v>
      </c>
      <c r="L18" s="21">
        <f>0</f>
        <v>0</v>
      </c>
      <c r="M18" s="21">
        <f>0</f>
        <v>0</v>
      </c>
      <c r="N18" s="21">
        <f>0</f>
        <v>0</v>
      </c>
      <c r="O18" s="21">
        <f>0</f>
        <v>0</v>
      </c>
      <c r="P18" s="21">
        <f>0</f>
        <v>0</v>
      </c>
      <c r="Q18" s="21">
        <f>0</f>
        <v>0</v>
      </c>
    </row>
    <row r="19" spans="1:17" ht="22.5" customHeight="1" x14ac:dyDescent="0.2">
      <c r="A19" s="17" t="s">
        <v>50</v>
      </c>
      <c r="B19" s="21">
        <f>4214093155.7</f>
        <v>4214093155.6999998</v>
      </c>
      <c r="C19" s="21">
        <f>2383140964.56</f>
        <v>2383140964.5599999</v>
      </c>
      <c r="D19" s="21">
        <f>159416264.45</f>
        <v>159416264.44999999</v>
      </c>
      <c r="E19" s="21">
        <f>158000000</f>
        <v>158000000</v>
      </c>
      <c r="F19" s="21">
        <f>0</f>
        <v>0</v>
      </c>
      <c r="G19" s="21">
        <f>1416264.45</f>
        <v>1416264.45</v>
      </c>
      <c r="H19" s="21">
        <f>0</f>
        <v>0</v>
      </c>
      <c r="I19" s="21">
        <f>0</f>
        <v>0</v>
      </c>
      <c r="J19" s="21">
        <f>2059451100.11</f>
        <v>2059451100.1099999</v>
      </c>
      <c r="K19" s="21">
        <f>0</f>
        <v>0</v>
      </c>
      <c r="L19" s="21">
        <f>164273600</f>
        <v>164273600</v>
      </c>
      <c r="M19" s="21">
        <f>0</f>
        <v>0</v>
      </c>
      <c r="N19" s="21">
        <f>0</f>
        <v>0</v>
      </c>
      <c r="O19" s="21">
        <f>1830952191.14</f>
        <v>1830952191.1400001</v>
      </c>
      <c r="P19" s="21">
        <f>1830952191.14</f>
        <v>1830952191.1400001</v>
      </c>
      <c r="Q19" s="21">
        <f>0</f>
        <v>0</v>
      </c>
    </row>
    <row r="20" spans="1:17" ht="36" customHeight="1" x14ac:dyDescent="0.2">
      <c r="A20" s="19" t="s">
        <v>51</v>
      </c>
      <c r="B20" s="20">
        <f>0</f>
        <v>0</v>
      </c>
      <c r="C20" s="20">
        <f>0</f>
        <v>0</v>
      </c>
      <c r="D20" s="20">
        <f>0</f>
        <v>0</v>
      </c>
      <c r="E20" s="20">
        <f>0</f>
        <v>0</v>
      </c>
      <c r="F20" s="20">
        <f>0</f>
        <v>0</v>
      </c>
      <c r="G20" s="20">
        <f>0</f>
        <v>0</v>
      </c>
      <c r="H20" s="20">
        <f>0</f>
        <v>0</v>
      </c>
      <c r="I20" s="20">
        <f>0</f>
        <v>0</v>
      </c>
      <c r="J20" s="20">
        <f>0</f>
        <v>0</v>
      </c>
      <c r="K20" s="20">
        <f>0</f>
        <v>0</v>
      </c>
      <c r="L20" s="20">
        <f>0</f>
        <v>0</v>
      </c>
      <c r="M20" s="20">
        <f>0</f>
        <v>0</v>
      </c>
      <c r="N20" s="20">
        <f>0</f>
        <v>0</v>
      </c>
      <c r="O20" s="20">
        <f>0</f>
        <v>0</v>
      </c>
      <c r="P20" s="20">
        <f>0</f>
        <v>0</v>
      </c>
      <c r="Q20" s="20">
        <f>0</f>
        <v>0</v>
      </c>
    </row>
    <row r="21" spans="1:17" ht="36" customHeight="1" x14ac:dyDescent="0.2">
      <c r="A21" s="19" t="s">
        <v>52</v>
      </c>
      <c r="B21" s="20">
        <f>468970.46</f>
        <v>468970.46</v>
      </c>
      <c r="C21" s="20">
        <f>468970.46</f>
        <v>468970.46</v>
      </c>
      <c r="D21" s="20">
        <f>28192</f>
        <v>28192</v>
      </c>
      <c r="E21" s="20">
        <f>0</f>
        <v>0</v>
      </c>
      <c r="F21" s="20">
        <f>0</f>
        <v>0</v>
      </c>
      <c r="G21" s="20">
        <f>28192</f>
        <v>28192</v>
      </c>
      <c r="H21" s="20">
        <f>0</f>
        <v>0</v>
      </c>
      <c r="I21" s="20">
        <f>0</f>
        <v>0</v>
      </c>
      <c r="J21" s="20">
        <f>0</f>
        <v>0</v>
      </c>
      <c r="K21" s="20">
        <f>0</f>
        <v>0</v>
      </c>
      <c r="L21" s="20">
        <f>96986.46</f>
        <v>96986.46</v>
      </c>
      <c r="M21" s="20">
        <f>336472.73</f>
        <v>336472.73</v>
      </c>
      <c r="N21" s="20">
        <f>7319.27</f>
        <v>7319.27</v>
      </c>
      <c r="O21" s="20">
        <f>0</f>
        <v>0</v>
      </c>
      <c r="P21" s="20">
        <f>0</f>
        <v>0</v>
      </c>
      <c r="Q21" s="20">
        <f>0</f>
        <v>0</v>
      </c>
    </row>
    <row r="22" spans="1:17" ht="30" customHeight="1" x14ac:dyDescent="0.2">
      <c r="A22" s="17" t="s">
        <v>53</v>
      </c>
      <c r="B22" s="21">
        <f>192316.06</f>
        <v>192316.06</v>
      </c>
      <c r="C22" s="21">
        <f>192316.06</f>
        <v>192316.06</v>
      </c>
      <c r="D22" s="21">
        <f>27792</f>
        <v>27792</v>
      </c>
      <c r="E22" s="21">
        <f>0</f>
        <v>0</v>
      </c>
      <c r="F22" s="21">
        <f>0</f>
        <v>0</v>
      </c>
      <c r="G22" s="21">
        <f>27792</f>
        <v>27792</v>
      </c>
      <c r="H22" s="21">
        <f>0</f>
        <v>0</v>
      </c>
      <c r="I22" s="21">
        <f>0</f>
        <v>0</v>
      </c>
      <c r="J22" s="21">
        <f>0</f>
        <v>0</v>
      </c>
      <c r="K22" s="21">
        <f>0</f>
        <v>0</v>
      </c>
      <c r="L22" s="21">
        <f>96986.46</f>
        <v>96986.46</v>
      </c>
      <c r="M22" s="21">
        <f>60218.33</f>
        <v>60218.33</v>
      </c>
      <c r="N22" s="21">
        <f>7319.27</f>
        <v>7319.27</v>
      </c>
      <c r="O22" s="21">
        <f>0</f>
        <v>0</v>
      </c>
      <c r="P22" s="21">
        <f>0</f>
        <v>0</v>
      </c>
      <c r="Q22" s="21">
        <f>0</f>
        <v>0</v>
      </c>
    </row>
    <row r="23" spans="1:17" ht="28.5" customHeight="1" x14ac:dyDescent="0.2">
      <c r="A23" s="17" t="s">
        <v>54</v>
      </c>
      <c r="B23" s="21">
        <f>276654.4</f>
        <v>276654.40000000002</v>
      </c>
      <c r="C23" s="21">
        <f>276654.4</f>
        <v>276654.40000000002</v>
      </c>
      <c r="D23" s="21">
        <f>400</f>
        <v>400</v>
      </c>
      <c r="E23" s="21">
        <f>0</f>
        <v>0</v>
      </c>
      <c r="F23" s="21">
        <f>0</f>
        <v>0</v>
      </c>
      <c r="G23" s="21">
        <f>400</f>
        <v>400</v>
      </c>
      <c r="H23" s="21">
        <f>0</f>
        <v>0</v>
      </c>
      <c r="I23" s="21">
        <f>0</f>
        <v>0</v>
      </c>
      <c r="J23" s="21">
        <f>0</f>
        <v>0</v>
      </c>
      <c r="K23" s="21">
        <f>0</f>
        <v>0</v>
      </c>
      <c r="L23" s="21">
        <f>0</f>
        <v>0</v>
      </c>
      <c r="M23" s="21">
        <f>276254.4</f>
        <v>276254.40000000002</v>
      </c>
      <c r="N23" s="21">
        <f>0</f>
        <v>0</v>
      </c>
      <c r="O23" s="21">
        <f>0</f>
        <v>0</v>
      </c>
      <c r="P23" s="21">
        <f>0</f>
        <v>0</v>
      </c>
      <c r="Q23" s="21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9.5" customHeigh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9.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45.75" customHeight="1" x14ac:dyDescent="0.2">
      <c r="A29" s="30" t="str">
        <f>CONCATENATE("Informacja z wykonania budżetów województw za  ",$C$93," ",$B$94," roku    ",$B$96,"")</f>
        <v xml:space="preserve">Informacja z wykonania budżetów województw za  III Kwartały 2024 roku    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1" spans="1:17" ht="13.5" customHeight="1" x14ac:dyDescent="0.2">
      <c r="A31" s="40" t="s">
        <v>11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3" spans="1:17" ht="13.5" customHeight="1" x14ac:dyDescent="0.2">
      <c r="A33" s="61" t="s">
        <v>0</v>
      </c>
      <c r="B33" s="31" t="s">
        <v>12</v>
      </c>
      <c r="C33" s="66" t="s">
        <v>14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6" t="s">
        <v>24</v>
      </c>
      <c r="P33" s="67"/>
      <c r="Q33" s="68"/>
    </row>
    <row r="34" spans="1:17" ht="13.5" customHeight="1" x14ac:dyDescent="0.2">
      <c r="A34" s="62"/>
      <c r="B34" s="32"/>
      <c r="C34" s="32" t="s">
        <v>13</v>
      </c>
      <c r="D34" s="29" t="s">
        <v>15</v>
      </c>
      <c r="E34" s="29" t="s">
        <v>25</v>
      </c>
      <c r="F34" s="29" t="s">
        <v>26</v>
      </c>
      <c r="G34" s="29" t="s">
        <v>72</v>
      </c>
      <c r="H34" s="29" t="s">
        <v>28</v>
      </c>
      <c r="I34" s="29" t="s">
        <v>1</v>
      </c>
      <c r="J34" s="29" t="s">
        <v>16</v>
      </c>
      <c r="K34" s="29" t="s">
        <v>17</v>
      </c>
      <c r="L34" s="29" t="s">
        <v>18</v>
      </c>
      <c r="M34" s="29" t="s">
        <v>19</v>
      </c>
      <c r="N34" s="34" t="s">
        <v>20</v>
      </c>
      <c r="O34" s="29" t="s">
        <v>21</v>
      </c>
      <c r="P34" s="29" t="s">
        <v>22</v>
      </c>
      <c r="Q34" s="31" t="s">
        <v>23</v>
      </c>
    </row>
    <row r="35" spans="1:17" ht="13.5" customHeight="1" x14ac:dyDescent="0.2">
      <c r="A35" s="62"/>
      <c r="B35" s="32"/>
      <c r="C35" s="3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4"/>
      <c r="O35" s="29"/>
      <c r="P35" s="29"/>
      <c r="Q35" s="32"/>
    </row>
    <row r="36" spans="1:17" ht="11.25" customHeight="1" x14ac:dyDescent="0.2">
      <c r="A36" s="62"/>
      <c r="B36" s="32"/>
      <c r="C36" s="3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4"/>
      <c r="O36" s="29"/>
      <c r="P36" s="29"/>
      <c r="Q36" s="32"/>
    </row>
    <row r="37" spans="1:17" ht="11.25" customHeight="1" x14ac:dyDescent="0.2">
      <c r="A37" s="63"/>
      <c r="B37" s="33"/>
      <c r="C37" s="3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4"/>
      <c r="O37" s="29"/>
      <c r="P37" s="29"/>
      <c r="Q37" s="33"/>
    </row>
    <row r="38" spans="1:17" ht="11.25" customHeight="1" x14ac:dyDescent="0.2">
      <c r="A38" s="13">
        <v>1</v>
      </c>
      <c r="B38" s="13">
        <v>2</v>
      </c>
      <c r="C38" s="13">
        <v>3</v>
      </c>
      <c r="D38" s="13">
        <v>4</v>
      </c>
      <c r="E38" s="13">
        <v>5</v>
      </c>
      <c r="F38" s="13">
        <v>6</v>
      </c>
      <c r="G38" s="13">
        <v>7</v>
      </c>
      <c r="H38" s="13">
        <v>8</v>
      </c>
      <c r="I38" s="13">
        <v>9</v>
      </c>
      <c r="J38" s="13">
        <v>10</v>
      </c>
      <c r="K38" s="13">
        <v>11</v>
      </c>
      <c r="L38" s="13">
        <v>12</v>
      </c>
      <c r="M38" s="13">
        <v>13</v>
      </c>
      <c r="N38" s="13">
        <v>14</v>
      </c>
      <c r="O38" s="13">
        <v>15</v>
      </c>
      <c r="P38" s="13">
        <v>16</v>
      </c>
      <c r="Q38" s="13">
        <v>17</v>
      </c>
    </row>
    <row r="39" spans="1:17" ht="13.5" customHeight="1" x14ac:dyDescent="0.2">
      <c r="A39" s="13"/>
      <c r="B39" s="69" t="s">
        <v>78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1"/>
    </row>
    <row r="40" spans="1:17" ht="30.75" customHeight="1" x14ac:dyDescent="0.2">
      <c r="A40" s="24" t="s">
        <v>40</v>
      </c>
      <c r="B40" s="22">
        <f>0</f>
        <v>0</v>
      </c>
      <c r="C40" s="22">
        <f>0</f>
        <v>0</v>
      </c>
      <c r="D40" s="22">
        <f>0</f>
        <v>0</v>
      </c>
      <c r="E40" s="22">
        <f>0</f>
        <v>0</v>
      </c>
      <c r="F40" s="22">
        <f>0</f>
        <v>0</v>
      </c>
      <c r="G40" s="22">
        <f>0</f>
        <v>0</v>
      </c>
      <c r="H40" s="22">
        <f>0</f>
        <v>0</v>
      </c>
      <c r="I40" s="22">
        <f>0</f>
        <v>0</v>
      </c>
      <c r="J40" s="22">
        <f>0</f>
        <v>0</v>
      </c>
      <c r="K40" s="22">
        <f>0</f>
        <v>0</v>
      </c>
      <c r="L40" s="22">
        <f>0</f>
        <v>0</v>
      </c>
      <c r="M40" s="22">
        <f>0</f>
        <v>0</v>
      </c>
      <c r="N40" s="22">
        <f>0</f>
        <v>0</v>
      </c>
      <c r="O40" s="22">
        <f>0</f>
        <v>0</v>
      </c>
      <c r="P40" s="22">
        <f>0</f>
        <v>0</v>
      </c>
      <c r="Q40" s="22">
        <f>0</f>
        <v>0</v>
      </c>
    </row>
    <row r="41" spans="1:17" ht="24" customHeight="1" x14ac:dyDescent="0.2">
      <c r="A41" s="18" t="s">
        <v>29</v>
      </c>
      <c r="B41" s="23">
        <f>0</f>
        <v>0</v>
      </c>
      <c r="C41" s="23">
        <f>0</f>
        <v>0</v>
      </c>
      <c r="D41" s="23">
        <f>0</f>
        <v>0</v>
      </c>
      <c r="E41" s="23">
        <f>0</f>
        <v>0</v>
      </c>
      <c r="F41" s="23">
        <f>0</f>
        <v>0</v>
      </c>
      <c r="G41" s="23">
        <f>0</f>
        <v>0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0</f>
        <v>0</v>
      </c>
      <c r="M41" s="23">
        <f>0</f>
        <v>0</v>
      </c>
      <c r="N41" s="23">
        <f>0</f>
        <v>0</v>
      </c>
      <c r="O41" s="23">
        <f>0</f>
        <v>0</v>
      </c>
      <c r="P41" s="23">
        <f>0</f>
        <v>0</v>
      </c>
      <c r="Q41" s="23">
        <f>0</f>
        <v>0</v>
      </c>
    </row>
    <row r="42" spans="1:17" ht="24" customHeight="1" x14ac:dyDescent="0.2">
      <c r="A42" s="18" t="s">
        <v>30</v>
      </c>
      <c r="B42" s="23">
        <f>0</f>
        <v>0</v>
      </c>
      <c r="C42" s="23">
        <f>0</f>
        <v>0</v>
      </c>
      <c r="D42" s="23">
        <f>0</f>
        <v>0</v>
      </c>
      <c r="E42" s="23">
        <f>0</f>
        <v>0</v>
      </c>
      <c r="F42" s="23">
        <f>0</f>
        <v>0</v>
      </c>
      <c r="G42" s="23">
        <f>0</f>
        <v>0</v>
      </c>
      <c r="H42" s="23">
        <f>0</f>
        <v>0</v>
      </c>
      <c r="I42" s="23">
        <f>0</f>
        <v>0</v>
      </c>
      <c r="J42" s="23">
        <f>0</f>
        <v>0</v>
      </c>
      <c r="K42" s="23">
        <f>0</f>
        <v>0</v>
      </c>
      <c r="L42" s="23">
        <f>0</f>
        <v>0</v>
      </c>
      <c r="M42" s="23">
        <f>0</f>
        <v>0</v>
      </c>
      <c r="N42" s="23">
        <f>0</f>
        <v>0</v>
      </c>
      <c r="O42" s="23">
        <f>0</f>
        <v>0</v>
      </c>
      <c r="P42" s="23">
        <f>0</f>
        <v>0</v>
      </c>
      <c r="Q42" s="23">
        <f>0</f>
        <v>0</v>
      </c>
    </row>
    <row r="43" spans="1:17" ht="30.75" customHeight="1" x14ac:dyDescent="0.2">
      <c r="A43" s="24" t="s">
        <v>41</v>
      </c>
      <c r="B43" s="22">
        <f>532989965.39</f>
        <v>532989965.38999999</v>
      </c>
      <c r="C43" s="22">
        <f>532989965.39</f>
        <v>532989965.38999999</v>
      </c>
      <c r="D43" s="22">
        <f>474798076.09</f>
        <v>474798076.08999997</v>
      </c>
      <c r="E43" s="22">
        <f>84115.96</f>
        <v>84115.96</v>
      </c>
      <c r="F43" s="22">
        <f>8561.64</f>
        <v>8561.64</v>
      </c>
      <c r="G43" s="22">
        <f>474705398.49</f>
        <v>474705398.49000001</v>
      </c>
      <c r="H43" s="22">
        <f>0</f>
        <v>0</v>
      </c>
      <c r="I43" s="22">
        <f>0</f>
        <v>0</v>
      </c>
      <c r="J43" s="22">
        <f>0</f>
        <v>0</v>
      </c>
      <c r="K43" s="22">
        <f>0</f>
        <v>0</v>
      </c>
      <c r="L43" s="22">
        <f>53237440.82</f>
        <v>53237440.82</v>
      </c>
      <c r="M43" s="22">
        <f>4349490.17</f>
        <v>4349490.17</v>
      </c>
      <c r="N43" s="22">
        <f>604958.31</f>
        <v>604958.31000000006</v>
      </c>
      <c r="O43" s="22">
        <f>0</f>
        <v>0</v>
      </c>
      <c r="P43" s="22">
        <f>0</f>
        <v>0</v>
      </c>
      <c r="Q43" s="22">
        <f>0</f>
        <v>0</v>
      </c>
    </row>
    <row r="44" spans="1:17" ht="24" customHeight="1" x14ac:dyDescent="0.2">
      <c r="A44" s="18" t="s">
        <v>31</v>
      </c>
      <c r="B44" s="23">
        <f>30552461.94</f>
        <v>30552461.940000001</v>
      </c>
      <c r="C44" s="23">
        <f>30552461.94</f>
        <v>30552461.940000001</v>
      </c>
      <c r="D44" s="23">
        <f>30469440.32</f>
        <v>30469440.32</v>
      </c>
      <c r="E44" s="23">
        <f>0</f>
        <v>0</v>
      </c>
      <c r="F44" s="23">
        <f>0</f>
        <v>0</v>
      </c>
      <c r="G44" s="23">
        <f>30469440.32</f>
        <v>30469440.32</v>
      </c>
      <c r="H44" s="23">
        <f>0</f>
        <v>0</v>
      </c>
      <c r="I44" s="23">
        <f>0</f>
        <v>0</v>
      </c>
      <c r="J44" s="23">
        <f>0</f>
        <v>0</v>
      </c>
      <c r="K44" s="23">
        <f>0</f>
        <v>0</v>
      </c>
      <c r="L44" s="23">
        <f>83021.62</f>
        <v>83021.62</v>
      </c>
      <c r="M44" s="23">
        <f>0</f>
        <v>0</v>
      </c>
      <c r="N44" s="23">
        <f>0</f>
        <v>0</v>
      </c>
      <c r="O44" s="23">
        <f>0</f>
        <v>0</v>
      </c>
      <c r="P44" s="23">
        <f>0</f>
        <v>0</v>
      </c>
      <c r="Q44" s="23">
        <f>0</f>
        <v>0</v>
      </c>
    </row>
    <row r="45" spans="1:17" ht="24" customHeight="1" x14ac:dyDescent="0.2">
      <c r="A45" s="18" t="s">
        <v>32</v>
      </c>
      <c r="B45" s="23">
        <f>502437503.45</f>
        <v>502437503.44999999</v>
      </c>
      <c r="C45" s="23">
        <f>502437503.45</f>
        <v>502437503.44999999</v>
      </c>
      <c r="D45" s="23">
        <f>444328635.77</f>
        <v>444328635.76999998</v>
      </c>
      <c r="E45" s="23">
        <f>84115.96</f>
        <v>84115.96</v>
      </c>
      <c r="F45" s="23">
        <f>8561.64</f>
        <v>8561.64</v>
      </c>
      <c r="G45" s="23">
        <f>444235958.17</f>
        <v>444235958.17000002</v>
      </c>
      <c r="H45" s="23">
        <f>0</f>
        <v>0</v>
      </c>
      <c r="I45" s="23">
        <f>0</f>
        <v>0</v>
      </c>
      <c r="J45" s="23">
        <f>0</f>
        <v>0</v>
      </c>
      <c r="K45" s="23">
        <f>0</f>
        <v>0</v>
      </c>
      <c r="L45" s="23">
        <f>53154419.2</f>
        <v>53154419.200000003</v>
      </c>
      <c r="M45" s="23">
        <f>4349490.17</f>
        <v>4349490.17</v>
      </c>
      <c r="N45" s="23">
        <f>604958.31</f>
        <v>604958.31000000006</v>
      </c>
      <c r="O45" s="23">
        <f>0</f>
        <v>0</v>
      </c>
      <c r="P45" s="23">
        <f>0</f>
        <v>0</v>
      </c>
      <c r="Q45" s="23">
        <f>0</f>
        <v>0</v>
      </c>
    </row>
    <row r="46" spans="1:17" ht="30.75" customHeight="1" x14ac:dyDescent="0.2">
      <c r="A46" s="24" t="s">
        <v>42</v>
      </c>
      <c r="B46" s="22">
        <f>11587364367.38</f>
        <v>11587364367.379999</v>
      </c>
      <c r="C46" s="22">
        <f>11587097883.5</f>
        <v>11587097883.5</v>
      </c>
      <c r="D46" s="22">
        <f>438779.91</f>
        <v>438779.91</v>
      </c>
      <c r="E46" s="22">
        <f>600</f>
        <v>600</v>
      </c>
      <c r="F46" s="22">
        <f>16265.52</f>
        <v>16265.52</v>
      </c>
      <c r="G46" s="22">
        <f>421914.39</f>
        <v>421914.39</v>
      </c>
      <c r="H46" s="22">
        <f>0</f>
        <v>0</v>
      </c>
      <c r="I46" s="22">
        <f>0</f>
        <v>0</v>
      </c>
      <c r="J46" s="22">
        <f>11583041721.62</f>
        <v>11583041721.620001</v>
      </c>
      <c r="K46" s="22">
        <f>0</f>
        <v>0</v>
      </c>
      <c r="L46" s="22">
        <f>3608318.34</f>
        <v>3608318.34</v>
      </c>
      <c r="M46" s="22">
        <f>9063.63</f>
        <v>9063.6299999999992</v>
      </c>
      <c r="N46" s="22">
        <f>0</f>
        <v>0</v>
      </c>
      <c r="O46" s="22">
        <f>266483.88</f>
        <v>266483.88</v>
      </c>
      <c r="P46" s="22">
        <f>266483.88</f>
        <v>266483.88</v>
      </c>
      <c r="Q46" s="22">
        <f>0</f>
        <v>0</v>
      </c>
    </row>
    <row r="47" spans="1:17" ht="24" customHeight="1" x14ac:dyDescent="0.2">
      <c r="A47" s="18" t="s">
        <v>33</v>
      </c>
      <c r="B47" s="23">
        <f>421914.39</f>
        <v>421914.39</v>
      </c>
      <c r="C47" s="23">
        <f>421914.39</f>
        <v>421914.39</v>
      </c>
      <c r="D47" s="23">
        <f>421914.39</f>
        <v>421914.39</v>
      </c>
      <c r="E47" s="23">
        <f>0</f>
        <v>0</v>
      </c>
      <c r="F47" s="23">
        <f>0</f>
        <v>0</v>
      </c>
      <c r="G47" s="23">
        <f>421914.39</f>
        <v>421914.39</v>
      </c>
      <c r="H47" s="23">
        <f>0</f>
        <v>0</v>
      </c>
      <c r="I47" s="23">
        <f>0</f>
        <v>0</v>
      </c>
      <c r="J47" s="23">
        <f>0</f>
        <v>0</v>
      </c>
      <c r="K47" s="23">
        <f>0</f>
        <v>0</v>
      </c>
      <c r="L47" s="23">
        <f>0</f>
        <v>0</v>
      </c>
      <c r="M47" s="23">
        <f>0</f>
        <v>0</v>
      </c>
      <c r="N47" s="23">
        <f>0</f>
        <v>0</v>
      </c>
      <c r="O47" s="23">
        <f>0</f>
        <v>0</v>
      </c>
      <c r="P47" s="23">
        <f>0</f>
        <v>0</v>
      </c>
      <c r="Q47" s="23">
        <f>0</f>
        <v>0</v>
      </c>
    </row>
    <row r="48" spans="1:17" ht="24" customHeight="1" x14ac:dyDescent="0.2">
      <c r="A48" s="18" t="s">
        <v>34</v>
      </c>
      <c r="B48" s="23">
        <f>7222616848.16</f>
        <v>7222616848.1599998</v>
      </c>
      <c r="C48" s="23">
        <f>7222616848.16</f>
        <v>7222616848.1599998</v>
      </c>
      <c r="D48" s="23">
        <f>600</f>
        <v>600</v>
      </c>
      <c r="E48" s="23">
        <f>600</f>
        <v>600</v>
      </c>
      <c r="F48" s="23">
        <f>0</f>
        <v>0</v>
      </c>
      <c r="G48" s="23">
        <f>0</f>
        <v>0</v>
      </c>
      <c r="H48" s="23">
        <f>0</f>
        <v>0</v>
      </c>
      <c r="I48" s="23">
        <f>0</f>
        <v>0</v>
      </c>
      <c r="J48" s="23">
        <f>7219032205.93</f>
        <v>7219032205.9300003</v>
      </c>
      <c r="K48" s="23">
        <f>0</f>
        <v>0</v>
      </c>
      <c r="L48" s="23">
        <f>3574978.6</f>
        <v>3574978.6</v>
      </c>
      <c r="M48" s="23">
        <f>9063.63</f>
        <v>9063.6299999999992</v>
      </c>
      <c r="N48" s="23">
        <f>0</f>
        <v>0</v>
      </c>
      <c r="O48" s="23">
        <f>0</f>
        <v>0</v>
      </c>
      <c r="P48" s="23">
        <f>0</f>
        <v>0</v>
      </c>
      <c r="Q48" s="23">
        <f>0</f>
        <v>0</v>
      </c>
    </row>
    <row r="49" spans="1:17" ht="24" customHeight="1" x14ac:dyDescent="0.2">
      <c r="A49" s="18" t="s">
        <v>35</v>
      </c>
      <c r="B49" s="23">
        <f>4364325604.83</f>
        <v>4364325604.8299999</v>
      </c>
      <c r="C49" s="23">
        <f>4364059120.95</f>
        <v>4364059120.9499998</v>
      </c>
      <c r="D49" s="23">
        <f>16265.52</f>
        <v>16265.52</v>
      </c>
      <c r="E49" s="23">
        <f>0</f>
        <v>0</v>
      </c>
      <c r="F49" s="23">
        <f>16265.52</f>
        <v>16265.52</v>
      </c>
      <c r="G49" s="23">
        <f>0</f>
        <v>0</v>
      </c>
      <c r="H49" s="23">
        <f>0</f>
        <v>0</v>
      </c>
      <c r="I49" s="23">
        <f>0</f>
        <v>0</v>
      </c>
      <c r="J49" s="23">
        <f>4364009515.69</f>
        <v>4364009515.6899996</v>
      </c>
      <c r="K49" s="23">
        <f>0</f>
        <v>0</v>
      </c>
      <c r="L49" s="23">
        <f>33339.74</f>
        <v>33339.74</v>
      </c>
      <c r="M49" s="23">
        <f>0</f>
        <v>0</v>
      </c>
      <c r="N49" s="23">
        <f>0</f>
        <v>0</v>
      </c>
      <c r="O49" s="23">
        <f>266483.88</f>
        <v>266483.88</v>
      </c>
      <c r="P49" s="23">
        <f>266483.88</f>
        <v>266483.88</v>
      </c>
      <c r="Q49" s="23">
        <f>0</f>
        <v>0</v>
      </c>
    </row>
    <row r="50" spans="1:17" ht="30.75" customHeight="1" x14ac:dyDescent="0.2">
      <c r="A50" s="24" t="s">
        <v>43</v>
      </c>
      <c r="B50" s="22">
        <f>5112159228.39</f>
        <v>5112159228.3900003</v>
      </c>
      <c r="C50" s="22">
        <f>5109761403.58</f>
        <v>5109761403.5799999</v>
      </c>
      <c r="D50" s="22">
        <f>17118510.3</f>
        <v>17118510.300000001</v>
      </c>
      <c r="E50" s="22">
        <f>53530.21</f>
        <v>53530.21</v>
      </c>
      <c r="F50" s="22">
        <f>76471.79</f>
        <v>76471.789999999994</v>
      </c>
      <c r="G50" s="22">
        <f>16988507.8</f>
        <v>16988507.800000001</v>
      </c>
      <c r="H50" s="22">
        <f>0.5</f>
        <v>0.5</v>
      </c>
      <c r="I50" s="22">
        <f>0</f>
        <v>0</v>
      </c>
      <c r="J50" s="22">
        <f>18164.52</f>
        <v>18164.52</v>
      </c>
      <c r="K50" s="22">
        <f>15771427.59</f>
        <v>15771427.59</v>
      </c>
      <c r="L50" s="22">
        <f>2096528698.98</f>
        <v>2096528698.98</v>
      </c>
      <c r="M50" s="22">
        <f>2951396463.64</f>
        <v>2951396463.6399999</v>
      </c>
      <c r="N50" s="22">
        <f>28928138.55</f>
        <v>28928138.550000001</v>
      </c>
      <c r="O50" s="22">
        <f>2397824.81</f>
        <v>2397824.81</v>
      </c>
      <c r="P50" s="22">
        <f>1862160.95</f>
        <v>1862160.95</v>
      </c>
      <c r="Q50" s="22">
        <f>535663.86</f>
        <v>535663.86</v>
      </c>
    </row>
    <row r="51" spans="1:17" ht="30" customHeight="1" x14ac:dyDescent="0.2">
      <c r="A51" s="18" t="s">
        <v>36</v>
      </c>
      <c r="B51" s="23">
        <f>90147184.01</f>
        <v>90147184.010000005</v>
      </c>
      <c r="C51" s="23">
        <f>90139876.39</f>
        <v>90139876.390000001</v>
      </c>
      <c r="D51" s="23">
        <f>491525.66</f>
        <v>491525.66</v>
      </c>
      <c r="E51" s="23">
        <f>0</f>
        <v>0</v>
      </c>
      <c r="F51" s="23">
        <f>0</f>
        <v>0</v>
      </c>
      <c r="G51" s="23">
        <f>491525.66</f>
        <v>491525.66</v>
      </c>
      <c r="H51" s="23">
        <f>0</f>
        <v>0</v>
      </c>
      <c r="I51" s="23">
        <f>0</f>
        <v>0</v>
      </c>
      <c r="J51" s="23">
        <f>998.91</f>
        <v>998.91</v>
      </c>
      <c r="K51" s="23">
        <f>0</f>
        <v>0</v>
      </c>
      <c r="L51" s="23">
        <f>81400807.77</f>
        <v>81400807.769999996</v>
      </c>
      <c r="M51" s="23">
        <f>7650477.97</f>
        <v>7650477.9699999997</v>
      </c>
      <c r="N51" s="23">
        <f>596066.08</f>
        <v>596066.07999999996</v>
      </c>
      <c r="O51" s="23">
        <f>7307.62</f>
        <v>7307.62</v>
      </c>
      <c r="P51" s="23">
        <f>7307.62</f>
        <v>7307.62</v>
      </c>
      <c r="Q51" s="23">
        <f>0</f>
        <v>0</v>
      </c>
    </row>
    <row r="52" spans="1:17" ht="24" customHeight="1" x14ac:dyDescent="0.2">
      <c r="A52" s="18" t="s">
        <v>37</v>
      </c>
      <c r="B52" s="23">
        <f>5022012044.38</f>
        <v>5022012044.3800001</v>
      </c>
      <c r="C52" s="23">
        <f>5019621527.19</f>
        <v>5019621527.1899996</v>
      </c>
      <c r="D52" s="23">
        <f>16626984.64</f>
        <v>16626984.640000001</v>
      </c>
      <c r="E52" s="23">
        <f>53530.21</f>
        <v>53530.21</v>
      </c>
      <c r="F52" s="23">
        <f>76471.79</f>
        <v>76471.789999999994</v>
      </c>
      <c r="G52" s="23">
        <f>16496982.14</f>
        <v>16496982.140000001</v>
      </c>
      <c r="H52" s="23">
        <f>0.5</f>
        <v>0.5</v>
      </c>
      <c r="I52" s="23">
        <f>0</f>
        <v>0</v>
      </c>
      <c r="J52" s="23">
        <f>17165.61</f>
        <v>17165.61</v>
      </c>
      <c r="K52" s="23">
        <f>15771427.59</f>
        <v>15771427.59</v>
      </c>
      <c r="L52" s="23">
        <f>2015127891.21</f>
        <v>2015127891.21</v>
      </c>
      <c r="M52" s="23">
        <f>2943745985.67</f>
        <v>2943745985.6700001</v>
      </c>
      <c r="N52" s="23">
        <f>28332072.47</f>
        <v>28332072.469999999</v>
      </c>
      <c r="O52" s="23">
        <f>2390517.19</f>
        <v>2390517.19</v>
      </c>
      <c r="P52" s="23">
        <f>1854853.33</f>
        <v>1854853.33</v>
      </c>
      <c r="Q52" s="23">
        <f>535663.86</f>
        <v>535663.86</v>
      </c>
    </row>
    <row r="53" spans="1:17" ht="30.75" customHeight="1" x14ac:dyDescent="0.2">
      <c r="A53" s="24" t="s">
        <v>44</v>
      </c>
      <c r="B53" s="22">
        <f>1303609338.7</f>
        <v>1303609338.7</v>
      </c>
      <c r="C53" s="22">
        <f>1300002172.9</f>
        <v>1300002172.9000001</v>
      </c>
      <c r="D53" s="22">
        <f>157974043.5</f>
        <v>157974043.5</v>
      </c>
      <c r="E53" s="22">
        <f>25734791.42</f>
        <v>25734791.420000002</v>
      </c>
      <c r="F53" s="22">
        <f>540776.54</f>
        <v>540776.54</v>
      </c>
      <c r="G53" s="22">
        <f>131290400.87</f>
        <v>131290400.87</v>
      </c>
      <c r="H53" s="22">
        <f>408074.67</f>
        <v>408074.67</v>
      </c>
      <c r="I53" s="22">
        <f>0</f>
        <v>0</v>
      </c>
      <c r="J53" s="22">
        <f>466504.82</f>
        <v>466504.82</v>
      </c>
      <c r="K53" s="22">
        <f>14266.06</f>
        <v>14266.06</v>
      </c>
      <c r="L53" s="22">
        <f>946237623.35</f>
        <v>946237623.35000002</v>
      </c>
      <c r="M53" s="22">
        <f>180777395.38</f>
        <v>180777395.38</v>
      </c>
      <c r="N53" s="22">
        <f>14532339.79</f>
        <v>14532339.789999999</v>
      </c>
      <c r="O53" s="22">
        <f>3607165.8</f>
        <v>3607165.8</v>
      </c>
      <c r="P53" s="22">
        <f>2579478.41</f>
        <v>2579478.41</v>
      </c>
      <c r="Q53" s="22">
        <f>1027687.39</f>
        <v>1027687.39</v>
      </c>
    </row>
    <row r="54" spans="1:17" ht="30" customHeight="1" x14ac:dyDescent="0.2">
      <c r="A54" s="18" t="s">
        <v>38</v>
      </c>
      <c r="B54" s="23">
        <f>49785572.77</f>
        <v>49785572.770000003</v>
      </c>
      <c r="C54" s="23">
        <f>49707796.35</f>
        <v>49707796.350000001</v>
      </c>
      <c r="D54" s="23">
        <f>3791054.13</f>
        <v>3791054.13</v>
      </c>
      <c r="E54" s="23">
        <f>918312.37</f>
        <v>918312.37</v>
      </c>
      <c r="F54" s="23">
        <f>74910.01</f>
        <v>74910.009999999995</v>
      </c>
      <c r="G54" s="23">
        <f>2797831.75</f>
        <v>2797831.75</v>
      </c>
      <c r="H54" s="23">
        <f>0</f>
        <v>0</v>
      </c>
      <c r="I54" s="23">
        <f>0</f>
        <v>0</v>
      </c>
      <c r="J54" s="23">
        <f>0</f>
        <v>0</v>
      </c>
      <c r="K54" s="23">
        <f>360.27</f>
        <v>360.27</v>
      </c>
      <c r="L54" s="23">
        <f>42341763.51</f>
        <v>42341763.509999998</v>
      </c>
      <c r="M54" s="23">
        <f>2851708.61</f>
        <v>2851708.61</v>
      </c>
      <c r="N54" s="23">
        <f>722909.83</f>
        <v>722909.83</v>
      </c>
      <c r="O54" s="23">
        <f>77776.42</f>
        <v>77776.42</v>
      </c>
      <c r="P54" s="23">
        <f>71384.03</f>
        <v>71384.03</v>
      </c>
      <c r="Q54" s="23">
        <f>6392.39</f>
        <v>6392.39</v>
      </c>
    </row>
    <row r="55" spans="1:17" ht="33" customHeight="1" x14ac:dyDescent="0.2">
      <c r="A55" s="18" t="s">
        <v>80</v>
      </c>
      <c r="B55" s="23">
        <f>0</f>
        <v>0</v>
      </c>
      <c r="C55" s="23">
        <f>0</f>
        <v>0</v>
      </c>
      <c r="D55" s="23">
        <f>0</f>
        <v>0</v>
      </c>
      <c r="E55" s="23">
        <f>0</f>
        <v>0</v>
      </c>
      <c r="F55" s="23">
        <f>0</f>
        <v>0</v>
      </c>
      <c r="G55" s="23">
        <f>0</f>
        <v>0</v>
      </c>
      <c r="H55" s="23">
        <f>0</f>
        <v>0</v>
      </c>
      <c r="I55" s="23">
        <f>0</f>
        <v>0</v>
      </c>
      <c r="J55" s="23">
        <f>0</f>
        <v>0</v>
      </c>
      <c r="K55" s="23">
        <f>0</f>
        <v>0</v>
      </c>
      <c r="L55" s="23">
        <f>0</f>
        <v>0</v>
      </c>
      <c r="M55" s="23">
        <f>0</f>
        <v>0</v>
      </c>
      <c r="N55" s="23">
        <f>0</f>
        <v>0</v>
      </c>
      <c r="O55" s="23">
        <f>0</f>
        <v>0</v>
      </c>
      <c r="P55" s="23">
        <f>0</f>
        <v>0</v>
      </c>
      <c r="Q55" s="23">
        <f>0</f>
        <v>0</v>
      </c>
    </row>
    <row r="56" spans="1:17" ht="33" customHeight="1" x14ac:dyDescent="0.2">
      <c r="A56" s="18" t="s">
        <v>39</v>
      </c>
      <c r="B56" s="23">
        <f>1253823765.93</f>
        <v>1253823765.9300001</v>
      </c>
      <c r="C56" s="23">
        <f>1250294376.55</f>
        <v>1250294376.55</v>
      </c>
      <c r="D56" s="23">
        <f>154182989.37</f>
        <v>154182989.37</v>
      </c>
      <c r="E56" s="23">
        <f>24816479.05</f>
        <v>24816479.050000001</v>
      </c>
      <c r="F56" s="23">
        <f>465866.53</f>
        <v>465866.53</v>
      </c>
      <c r="G56" s="23">
        <f>128492569.12</f>
        <v>128492569.12</v>
      </c>
      <c r="H56" s="23">
        <f>408074.67</f>
        <v>408074.67</v>
      </c>
      <c r="I56" s="23">
        <f>0</f>
        <v>0</v>
      </c>
      <c r="J56" s="23">
        <f>466504.82</f>
        <v>466504.82</v>
      </c>
      <c r="K56" s="23">
        <f>13905.79</f>
        <v>13905.79</v>
      </c>
      <c r="L56" s="23">
        <f>903895859.84</f>
        <v>903895859.84000003</v>
      </c>
      <c r="M56" s="23">
        <f>177925686.77</f>
        <v>177925686.77000001</v>
      </c>
      <c r="N56" s="23">
        <f>13809429.96</f>
        <v>13809429.960000001</v>
      </c>
      <c r="O56" s="23">
        <f>3529389.38</f>
        <v>3529389.38</v>
      </c>
      <c r="P56" s="23">
        <f>2508094.38</f>
        <v>2508094.38</v>
      </c>
      <c r="Q56" s="23">
        <f>1021295</f>
        <v>1021295</v>
      </c>
    </row>
    <row r="66" spans="1:13" ht="67.5" customHeight="1" x14ac:dyDescent="0.2">
      <c r="A66" s="30" t="str">
        <f>CONCATENATE("Informacja z wykonania budżetów województw za  ",$C$93," ",$B$94," roku    ",$B$96,"")</f>
        <v xml:space="preserve">Informacja z wykonania budżetów województw za  III Kwartały 2024 roku    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3.5" customHeight="1" x14ac:dyDescent="0.2">
      <c r="B67" s="40" t="s">
        <v>2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9" spans="1:13" ht="13.5" customHeight="1" x14ac:dyDescent="0.2">
      <c r="B69" s="44" t="s">
        <v>0</v>
      </c>
      <c r="C69" s="45"/>
      <c r="D69" s="45"/>
      <c r="E69" s="46"/>
      <c r="F69" s="56" t="s">
        <v>70</v>
      </c>
      <c r="G69" s="41" t="s">
        <v>76</v>
      </c>
      <c r="H69" s="55"/>
      <c r="I69" s="55"/>
      <c r="J69" s="55"/>
      <c r="K69" s="55"/>
      <c r="L69" s="42"/>
    </row>
    <row r="70" spans="1:13" ht="13.5" customHeight="1" x14ac:dyDescent="0.2">
      <c r="B70" s="47"/>
      <c r="C70" s="48"/>
      <c r="D70" s="48"/>
      <c r="E70" s="49"/>
      <c r="F70" s="57"/>
      <c r="G70" s="59" t="s">
        <v>71</v>
      </c>
      <c r="H70" s="43" t="s">
        <v>68</v>
      </c>
      <c r="I70" s="43" t="s">
        <v>69</v>
      </c>
      <c r="J70" s="43" t="s">
        <v>72</v>
      </c>
      <c r="K70" s="43" t="s">
        <v>73</v>
      </c>
      <c r="L70" s="74" t="s">
        <v>74</v>
      </c>
    </row>
    <row r="71" spans="1:13" ht="13.5" customHeight="1" x14ac:dyDescent="0.2">
      <c r="B71" s="47"/>
      <c r="C71" s="48"/>
      <c r="D71" s="48"/>
      <c r="E71" s="49"/>
      <c r="F71" s="57"/>
      <c r="G71" s="59"/>
      <c r="H71" s="43"/>
      <c r="I71" s="43"/>
      <c r="J71" s="43"/>
      <c r="K71" s="43"/>
      <c r="L71" s="74"/>
    </row>
    <row r="72" spans="1:13" ht="11.25" customHeight="1" x14ac:dyDescent="0.2">
      <c r="B72" s="47"/>
      <c r="C72" s="48"/>
      <c r="D72" s="48"/>
      <c r="E72" s="49"/>
      <c r="F72" s="57"/>
      <c r="G72" s="59"/>
      <c r="H72" s="43"/>
      <c r="I72" s="43"/>
      <c r="J72" s="43"/>
      <c r="K72" s="43"/>
      <c r="L72" s="74"/>
    </row>
    <row r="73" spans="1:13" ht="11.25" customHeight="1" x14ac:dyDescent="0.2">
      <c r="B73" s="50"/>
      <c r="C73" s="51"/>
      <c r="D73" s="51"/>
      <c r="E73" s="52"/>
      <c r="F73" s="58"/>
      <c r="G73" s="59"/>
      <c r="H73" s="43"/>
      <c r="I73" s="43"/>
      <c r="J73" s="43"/>
      <c r="K73" s="43"/>
      <c r="L73" s="74"/>
    </row>
    <row r="74" spans="1:13" ht="11.25" customHeight="1" x14ac:dyDescent="0.2">
      <c r="B74" s="43">
        <v>1</v>
      </c>
      <c r="C74" s="43"/>
      <c r="D74" s="43"/>
      <c r="E74" s="43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3">
        <v>8</v>
      </c>
    </row>
    <row r="75" spans="1:13" ht="13.5" customHeight="1" x14ac:dyDescent="0.2">
      <c r="B75" s="43"/>
      <c r="C75" s="43"/>
      <c r="D75" s="43"/>
      <c r="E75" s="43"/>
      <c r="F75" s="41" t="s">
        <v>78</v>
      </c>
      <c r="G75" s="72"/>
      <c r="H75" s="72"/>
      <c r="I75" s="72"/>
      <c r="J75" s="72"/>
      <c r="K75" s="72"/>
      <c r="L75" s="73"/>
    </row>
    <row r="76" spans="1:13" ht="33.75" customHeight="1" x14ac:dyDescent="0.2">
      <c r="B76" s="35" t="s">
        <v>55</v>
      </c>
      <c r="C76" s="36"/>
      <c r="D76" s="36"/>
      <c r="E76" s="37"/>
      <c r="F76" s="25">
        <f>1175539047.95</f>
        <v>1175539047.95</v>
      </c>
      <c r="G76" s="25">
        <f>322893389.52</f>
        <v>322893389.51999998</v>
      </c>
      <c r="H76" s="25">
        <f>0</f>
        <v>0</v>
      </c>
      <c r="I76" s="25">
        <f>0</f>
        <v>0</v>
      </c>
      <c r="J76" s="25">
        <f>322893389.52</f>
        <v>322893389.51999998</v>
      </c>
      <c r="K76" s="25">
        <f>0</f>
        <v>0</v>
      </c>
      <c r="L76" s="25">
        <f>852645658.43</f>
        <v>852645658.42999995</v>
      </c>
    </row>
    <row r="77" spans="1:13" ht="33.75" customHeight="1" x14ac:dyDescent="0.2">
      <c r="B77" s="35" t="s">
        <v>56</v>
      </c>
      <c r="C77" s="36"/>
      <c r="D77" s="36"/>
      <c r="E77" s="37"/>
      <c r="F77" s="25">
        <f>0</f>
        <v>0</v>
      </c>
      <c r="G77" s="25">
        <f>0</f>
        <v>0</v>
      </c>
      <c r="H77" s="25">
        <f>0</f>
        <v>0</v>
      </c>
      <c r="I77" s="25">
        <f>0</f>
        <v>0</v>
      </c>
      <c r="J77" s="25">
        <f>0</f>
        <v>0</v>
      </c>
      <c r="K77" s="25">
        <f>0</f>
        <v>0</v>
      </c>
      <c r="L77" s="25">
        <f>0</f>
        <v>0</v>
      </c>
    </row>
    <row r="78" spans="1:13" ht="33.75" customHeight="1" x14ac:dyDescent="0.2">
      <c r="B78" s="35" t="s">
        <v>57</v>
      </c>
      <c r="C78" s="36"/>
      <c r="D78" s="36"/>
      <c r="E78" s="37"/>
      <c r="F78" s="25">
        <f>71411428.4</f>
        <v>71411428.400000006</v>
      </c>
      <c r="G78" s="25">
        <f>46811428.4</f>
        <v>46811428.399999999</v>
      </c>
      <c r="H78" s="25">
        <f>0</f>
        <v>0</v>
      </c>
      <c r="I78" s="25">
        <f>0</f>
        <v>0</v>
      </c>
      <c r="J78" s="25">
        <f>46811428.4</f>
        <v>46811428.399999999</v>
      </c>
      <c r="K78" s="25">
        <f>0</f>
        <v>0</v>
      </c>
      <c r="L78" s="25">
        <f>24600000</f>
        <v>24600000</v>
      </c>
    </row>
    <row r="79" spans="1:13" ht="22.5" customHeight="1" x14ac:dyDescent="0.2">
      <c r="B79" s="35" t="s">
        <v>58</v>
      </c>
      <c r="C79" s="36"/>
      <c r="D79" s="36"/>
      <c r="E79" s="37"/>
      <c r="F79" s="25">
        <f>15614064.03</f>
        <v>15614064.029999999</v>
      </c>
      <c r="G79" s="25">
        <f>10838415.09</f>
        <v>10838415.09</v>
      </c>
      <c r="H79" s="25">
        <f>0</f>
        <v>0</v>
      </c>
      <c r="I79" s="25">
        <f>0</f>
        <v>0</v>
      </c>
      <c r="J79" s="25">
        <f>10838415.09</f>
        <v>10838415.09</v>
      </c>
      <c r="K79" s="25">
        <f>0</f>
        <v>0</v>
      </c>
      <c r="L79" s="25">
        <f>4775648.94</f>
        <v>4775648.9400000004</v>
      </c>
    </row>
    <row r="80" spans="1:13" ht="33.75" customHeight="1" x14ac:dyDescent="0.2">
      <c r="B80" s="35" t="s">
        <v>59</v>
      </c>
      <c r="C80" s="36"/>
      <c r="D80" s="36"/>
      <c r="E80" s="37"/>
      <c r="F80" s="25">
        <f>609755.65</f>
        <v>609755.65</v>
      </c>
      <c r="G80" s="25">
        <f>386790.95</f>
        <v>386790.95</v>
      </c>
      <c r="H80" s="25">
        <f>0</f>
        <v>0</v>
      </c>
      <c r="I80" s="25">
        <f>0</f>
        <v>0</v>
      </c>
      <c r="J80" s="25">
        <f>386790.95</f>
        <v>386790.95</v>
      </c>
      <c r="K80" s="25">
        <f>0</f>
        <v>0</v>
      </c>
      <c r="L80" s="25">
        <f>222964.7</f>
        <v>222964.7</v>
      </c>
    </row>
    <row r="81" spans="1:13" ht="33.75" customHeight="1" x14ac:dyDescent="0.2">
      <c r="B81" s="35" t="s">
        <v>60</v>
      </c>
      <c r="C81" s="36"/>
      <c r="D81" s="36"/>
      <c r="E81" s="37"/>
      <c r="F81" s="25">
        <f>17023165.85</f>
        <v>17023165.850000001</v>
      </c>
      <c r="G81" s="25">
        <f>12247516.91</f>
        <v>12247516.91</v>
      </c>
      <c r="H81" s="25">
        <f>0</f>
        <v>0</v>
      </c>
      <c r="I81" s="25">
        <f>0</f>
        <v>0</v>
      </c>
      <c r="J81" s="25">
        <f>12247516.91</f>
        <v>12247516.91</v>
      </c>
      <c r="K81" s="25">
        <f>0</f>
        <v>0</v>
      </c>
      <c r="L81" s="25">
        <f>4775648.94</f>
        <v>4775648.9400000004</v>
      </c>
    </row>
    <row r="82" spans="1:13" ht="33" customHeight="1" x14ac:dyDescent="0.2">
      <c r="B82" s="35" t="s">
        <v>61</v>
      </c>
      <c r="C82" s="36"/>
      <c r="D82" s="36"/>
      <c r="E82" s="37"/>
      <c r="F82" s="25">
        <f>1037048.65</f>
        <v>1037048.65</v>
      </c>
      <c r="G82" s="25">
        <f>1037048.65</f>
        <v>1037048.65</v>
      </c>
      <c r="H82" s="25">
        <f>0</f>
        <v>0</v>
      </c>
      <c r="I82" s="25">
        <f>0</f>
        <v>0</v>
      </c>
      <c r="J82" s="25">
        <f>1037048.65</f>
        <v>1037048.65</v>
      </c>
      <c r="K82" s="25">
        <f>0</f>
        <v>0</v>
      </c>
      <c r="L82" s="25">
        <f>0</f>
        <v>0</v>
      </c>
    </row>
    <row r="85" spans="1:13" ht="60" customHeight="1" x14ac:dyDescent="0.2">
      <c r="A85" s="30" t="str">
        <f>CONCATENATE("Informacja z wykonania budżetów województw za  ",$C$93," ",$B$94," roku    ",$B$96,"")</f>
        <v xml:space="preserve">Informacja z wykonania budżetów województw za  III Kwartały 2024 roku    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13.5" customHeight="1" x14ac:dyDescent="0.2">
      <c r="B86" s="4"/>
    </row>
    <row r="87" spans="1:13" ht="13.5" customHeight="1" x14ac:dyDescent="0.2">
      <c r="B87" s="5"/>
      <c r="C87" s="41"/>
      <c r="D87" s="55"/>
      <c r="E87" s="55"/>
      <c r="F87" s="42"/>
      <c r="G87" s="41" t="s">
        <v>3</v>
      </c>
      <c r="H87" s="42"/>
      <c r="I87" s="41" t="s">
        <v>4</v>
      </c>
      <c r="J87" s="42"/>
      <c r="K87" s="5"/>
    </row>
    <row r="88" spans="1:13" ht="18" customHeight="1" x14ac:dyDescent="0.2">
      <c r="B88" s="6"/>
      <c r="C88" s="35" t="s">
        <v>5</v>
      </c>
      <c r="D88" s="36"/>
      <c r="E88" s="36"/>
      <c r="F88" s="37"/>
      <c r="G88" s="53">
        <f>16</f>
        <v>16</v>
      </c>
      <c r="H88" s="54"/>
      <c r="I88" s="38">
        <f>6373268194.77</f>
        <v>6373268194.7700005</v>
      </c>
      <c r="J88" s="39"/>
      <c r="K88" s="7"/>
    </row>
    <row r="89" spans="1:13" ht="22.5" customHeight="1" x14ac:dyDescent="0.2">
      <c r="B89" s="6"/>
      <c r="C89" s="35" t="s">
        <v>6</v>
      </c>
      <c r="D89" s="36"/>
      <c r="E89" s="36"/>
      <c r="F89" s="37"/>
      <c r="G89" s="53">
        <f>0</f>
        <v>0</v>
      </c>
      <c r="H89" s="54"/>
      <c r="I89" s="38">
        <f>0</f>
        <v>0</v>
      </c>
      <c r="J89" s="39"/>
      <c r="K89" s="7"/>
    </row>
    <row r="90" spans="1:13" ht="21" customHeight="1" x14ac:dyDescent="0.2">
      <c r="B90" s="6"/>
      <c r="C90" s="35" t="s">
        <v>7</v>
      </c>
      <c r="D90" s="36"/>
      <c r="E90" s="36"/>
      <c r="F90" s="37"/>
      <c r="G90" s="53">
        <f>0</f>
        <v>0</v>
      </c>
      <c r="H90" s="54"/>
      <c r="I90" s="38">
        <f>0</f>
        <v>0</v>
      </c>
      <c r="J90" s="39"/>
      <c r="K90" s="7"/>
    </row>
    <row r="93" spans="1:13" ht="13.5" customHeight="1" x14ac:dyDescent="0.2">
      <c r="A93" s="8" t="s">
        <v>8</v>
      </c>
      <c r="B93" s="8">
        <f>3</f>
        <v>3</v>
      </c>
      <c r="C93" s="8" t="str">
        <f>IF(B93=1,"I Kwartał",IF(B93=2,"II Kwartały",IF(B93=3,"III Kwartały",IF(B93=4,"IV Kwartały","-"))))</f>
        <v>III Kwartały</v>
      </c>
    </row>
    <row r="94" spans="1:13" ht="13.5" customHeight="1" x14ac:dyDescent="0.2">
      <c r="A94" s="8" t="s">
        <v>9</v>
      </c>
      <c r="B94" s="8">
        <f>2024</f>
        <v>2024</v>
      </c>
      <c r="C94" s="9"/>
    </row>
    <row r="95" spans="1:13" ht="13.5" customHeight="1" x14ac:dyDescent="0.2">
      <c r="A95" s="8" t="s">
        <v>10</v>
      </c>
      <c r="B95" s="10" t="str">
        <f>"Nov 14 2024 12:00AM"</f>
        <v>Nov 14 2024 12:00AM</v>
      </c>
      <c r="C95" s="9"/>
    </row>
    <row r="96" spans="1:13" ht="13.5" customHeight="1" x14ac:dyDescent="0.2">
      <c r="A96" s="14" t="s">
        <v>77</v>
      </c>
      <c r="B96" s="10" t="str">
        <f>""</f>
        <v/>
      </c>
    </row>
  </sheetData>
  <mergeCells count="79">
    <mergeCell ref="B75:E75"/>
    <mergeCell ref="F75:L75"/>
    <mergeCell ref="L70:L73"/>
    <mergeCell ref="F34:F37"/>
    <mergeCell ref="G34:G37"/>
    <mergeCell ref="H34:H37"/>
    <mergeCell ref="K34:K37"/>
    <mergeCell ref="I34:I37"/>
    <mergeCell ref="K70:K73"/>
    <mergeCell ref="Q7:Q10"/>
    <mergeCell ref="C33:N33"/>
    <mergeCell ref="L7:L10"/>
    <mergeCell ref="M7:M10"/>
    <mergeCell ref="N7:N10"/>
    <mergeCell ref="P7:P10"/>
    <mergeCell ref="A29:M29"/>
    <mergeCell ref="O33:Q33"/>
    <mergeCell ref="A31:M31"/>
    <mergeCell ref="J34:J37"/>
    <mergeCell ref="A33:A37"/>
    <mergeCell ref="C34:C37"/>
    <mergeCell ref="E34:E37"/>
    <mergeCell ref="B33:B37"/>
    <mergeCell ref="B12:Q12"/>
    <mergeCell ref="H70:H73"/>
    <mergeCell ref="I70:I73"/>
    <mergeCell ref="J70:J73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G7:G10"/>
    <mergeCell ref="F7:F10"/>
    <mergeCell ref="I7:I10"/>
    <mergeCell ref="G90:H90"/>
    <mergeCell ref="I90:J90"/>
    <mergeCell ref="C87:F87"/>
    <mergeCell ref="C88:F88"/>
    <mergeCell ref="C89:F89"/>
    <mergeCell ref="C90:F90"/>
    <mergeCell ref="G88:H88"/>
    <mergeCell ref="G87:H87"/>
    <mergeCell ref="G89:H89"/>
    <mergeCell ref="I89:J89"/>
    <mergeCell ref="B81:E81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B80:E80"/>
    <mergeCell ref="B77:E77"/>
    <mergeCell ref="B76:E76"/>
    <mergeCell ref="F69:F73"/>
    <mergeCell ref="G70:G73"/>
    <mergeCell ref="G69:L69"/>
    <mergeCell ref="O6:Q6"/>
    <mergeCell ref="O7:O10"/>
    <mergeCell ref="A66:M66"/>
    <mergeCell ref="L34:L37"/>
    <mergeCell ref="P34:P37"/>
    <mergeCell ref="Q34:Q37"/>
    <mergeCell ref="N34:N37"/>
    <mergeCell ref="O34:O37"/>
    <mergeCell ref="D34:D37"/>
    <mergeCell ref="H7:H10"/>
    <mergeCell ref="M34:M37"/>
    <mergeCell ref="J7:J10"/>
    <mergeCell ref="B39:Q39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2009-11-20T13:14:31Z</cp:lastPrinted>
  <dcterms:created xsi:type="dcterms:W3CDTF">2001-05-17T08:58:03Z</dcterms:created>
  <dcterms:modified xsi:type="dcterms:W3CDTF">2024-12-09T09:24:54Z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2024-12-09T10:24:48.4417505+01:00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GRN-37143ce4-ea6a-4bac-ac56-2d254a8c896d</vt:lpwstr>
  </property>
  <property fmtid="{D5CDD505-2E9C-101B-9397-08002B2CF9AE}" pid="7" name="MFHash">
    <vt:lpwstr>08MDNAz2X/vH56RThkqiJH+aC2DvToiWCSPrycYiBUo=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