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570" windowWidth="15180" windowHeight="8355" activeTab="0"/>
  </bookViews>
  <sheets>
    <sheet name=" BIP" sheetId="1" r:id="rId1"/>
  </sheets>
  <definedNames>
    <definedName name="_xlnm.Print_Area" localSheetId="0">' BIP'!$A$1:$P$37</definedName>
    <definedName name="_xlnm.Print_Titles" localSheetId="0">' BIP'!$A:$O,' BIP'!$3:$4</definedName>
  </definedNames>
  <calcPr fullCalcOnLoad="1"/>
</workbook>
</file>

<file path=xl/sharedStrings.xml><?xml version="1.0" encoding="utf-8"?>
<sst xmlns="http://schemas.openxmlformats.org/spreadsheetml/2006/main" count="54" uniqueCount="47">
  <si>
    <t>Dział wg klasyfikacji budżetowej</t>
  </si>
  <si>
    <t>Nazwa działu</t>
  </si>
  <si>
    <t>Rolnictwo i łowiectwo</t>
  </si>
  <si>
    <t>.050</t>
  </si>
  <si>
    <t>Rybołówstwo i rybactwo</t>
  </si>
  <si>
    <t>Handel</t>
  </si>
  <si>
    <t>Transport i łączność</t>
  </si>
  <si>
    <t>Gospodarka mieszkaniowa</t>
  </si>
  <si>
    <t>Działalność usługowa</t>
  </si>
  <si>
    <t>Informatyka</t>
  </si>
  <si>
    <t>Administracja publiczna</t>
  </si>
  <si>
    <t>Obrona narodowa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</si>
  <si>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</si>
  <si>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</si>
  <si>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</si>
  <si>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</si>
  <si>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</si>
  <si>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</si>
  <si>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</si>
  <si>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</si>
  <si>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</si>
  <si>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</si>
  <si>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Ogółem</t>
  </si>
  <si>
    <t>Szkolnictwo wyższe</t>
  </si>
  <si>
    <t>Nauka</t>
  </si>
  <si>
    <t>Turystyka</t>
  </si>
  <si>
    <t>Kultura fizyczna i sport</t>
  </si>
  <si>
    <t>Dochody od osób prawnych, od osób fizycznych i od  innych jednostek nieposiadających osobowości prawnej oraz wydatki związane z ich poborem</t>
  </si>
  <si>
    <t>Przetwórstwo przemysłowe</t>
  </si>
  <si>
    <t>Wytwarzanie i zaopatrywanie w energię elektryczna, gaz i wodę</t>
  </si>
  <si>
    <t>.020</t>
  </si>
  <si>
    <t>Leśnictwo</t>
  </si>
  <si>
    <t>dotacje bieżące:                         w tym współfinansowanie projektów z udziałem środków UE</t>
  </si>
  <si>
    <t>dotacje inwestycyjne:               w tym współfinansowanie projektów z udziałem środków UE</t>
  </si>
  <si>
    <t>pozostałe zmiany</t>
  </si>
  <si>
    <t>z tego:</t>
  </si>
  <si>
    <t>Wymiar sprawiedliwości</t>
  </si>
  <si>
    <t>Plan po zmianach                                                                                       kol. 3 + 7</t>
  </si>
  <si>
    <t xml:space="preserve">%            kol. 11 : 3       </t>
  </si>
  <si>
    <t>pozostałe wydatki</t>
  </si>
  <si>
    <t>Rodzina</t>
  </si>
  <si>
    <t xml:space="preserve"> .010 </t>
  </si>
  <si>
    <t>Zmiany</t>
  </si>
  <si>
    <t>Sporządziła: Kamila Placha-Bogacz</t>
  </si>
  <si>
    <t>Sprawdziła: Krystyna Osiadła</t>
  </si>
  <si>
    <t>Plan wydatków wg ustawy budżetowej</t>
  </si>
  <si>
    <t>Budżet Wojewody Podkarpackiego wg stanu na 31.03.2024 r.  ( w zł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</si>
</sst>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.000\ _z_ł_-;\-* #,##0.000\ _z_ł_-;_-* &quot;-&quot;??\ _z_ł_-;_-@_-"/>
    <numFmt numFmtId="17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1" xfId="42" applyNumberFormat="1" applyFont="1" applyBorder="1" applyAlignment="1">
      <alignment horizontal="center" vertical="center"/>
    </xf>
    <xf numFmtId="43" fontId="4" fillId="0" borderId="11" xfId="4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3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42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0" zoomScaleNormal="70" zoomScalePageLayoutView="0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37"/>
    </sheetView>
  </sheetViews>
  <sheetFormatPr defaultColWidth="9.140625" defaultRowHeight="12.75"/>
  <cols>
    <col min="1" max="1" width="16.140625" style="1" customWidth="1"/>
    <col min="2" max="2" width="36.28125" style="1" customWidth="1"/>
    <col min="3" max="3" width="26.140625" style="1" customWidth="1"/>
    <col min="4" max="4" width="26.8515625" style="1" customWidth="1"/>
    <col min="5" max="5" width="24.421875" style="1" customWidth="1"/>
    <col min="6" max="6" width="22.57421875" style="1" customWidth="1"/>
    <col min="7" max="7" width="28.28125" style="1" customWidth="1"/>
    <col min="8" max="8" width="29.28125" style="1" customWidth="1"/>
    <col min="9" max="9" width="27.421875" style="1" customWidth="1"/>
    <col min="10" max="10" width="27.140625" style="1" customWidth="1"/>
    <col min="11" max="11" width="33.8515625" style="1" customWidth="1"/>
    <col min="12" max="12" width="29.7109375" style="1" customWidth="1"/>
    <col min="13" max="13" width="29.00390625" style="1" customWidth="1"/>
    <col min="14" max="14" width="27.7109375" style="1" customWidth="1"/>
    <col min="15" max="15" width="15.421875" style="1" customWidth="1"/>
    <col min="16" max="16" width="8.7109375" style="1" customWidth="1"/>
    <col min="17" max="17" width="21.421875" style="4" customWidth="1"/>
    <col min="18" max="18" width="18.421875" style="4" customWidth="1"/>
    <col min="19" max="19" width="18.421875" style="1" customWidth="1"/>
    <col min="20" max="20" width="22.28125" style="1" customWidth="1"/>
    <col min="21" max="21" width="43.421875" style="1" customWidth="1"/>
    <col min="22" max="22" width="28.28125" style="1" customWidth="1"/>
    <col min="23" max="16384" width="9.140625" style="1" customWidth="1"/>
  </cols>
  <sheetData>
    <row r="1" spans="1:15" ht="2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46" t="s">
        <v>0</v>
      </c>
      <c r="B3" s="48" t="s">
        <v>1</v>
      </c>
      <c r="C3" s="49" t="s">
        <v>45</v>
      </c>
      <c r="D3" s="52" t="s">
        <v>35</v>
      </c>
      <c r="E3" s="52"/>
      <c r="F3" s="53"/>
      <c r="G3" s="50" t="s">
        <v>42</v>
      </c>
      <c r="H3" s="52" t="s">
        <v>35</v>
      </c>
      <c r="I3" s="52"/>
      <c r="J3" s="53"/>
      <c r="K3" s="49" t="s">
        <v>37</v>
      </c>
      <c r="L3" s="52" t="s">
        <v>35</v>
      </c>
      <c r="M3" s="52"/>
      <c r="N3" s="53"/>
      <c r="O3" s="55" t="s">
        <v>38</v>
      </c>
    </row>
    <row r="4" spans="1:19" ht="169.5" customHeight="1">
      <c r="A4" s="47"/>
      <c r="B4" s="48"/>
      <c r="C4" s="47"/>
      <c r="D4" s="9" t="s">
        <v>32</v>
      </c>
      <c r="E4" s="10" t="s">
        <v>33</v>
      </c>
      <c r="F4" s="9" t="s">
        <v>39</v>
      </c>
      <c r="G4" s="51"/>
      <c r="H4" s="9" t="s">
        <v>32</v>
      </c>
      <c r="I4" s="10" t="s">
        <v>33</v>
      </c>
      <c r="J4" s="9" t="s">
        <v>34</v>
      </c>
      <c r="K4" s="54"/>
      <c r="L4" s="9" t="s">
        <v>32</v>
      </c>
      <c r="M4" s="10" t="s">
        <v>33</v>
      </c>
      <c r="N4" s="9" t="s">
        <v>39</v>
      </c>
      <c r="O4" s="55"/>
      <c r="Q4" s="31"/>
      <c r="R4" s="31"/>
      <c r="S4" s="32"/>
    </row>
    <row r="5" spans="1:19" ht="18.75" customHeight="1">
      <c r="A5" s="12">
        <v>1</v>
      </c>
      <c r="B5" s="13">
        <v>2</v>
      </c>
      <c r="C5" s="8">
        <v>3</v>
      </c>
      <c r="D5" s="12">
        <v>4</v>
      </c>
      <c r="E5" s="12">
        <v>5</v>
      </c>
      <c r="F5" s="11">
        <v>6</v>
      </c>
      <c r="G5" s="13">
        <v>7</v>
      </c>
      <c r="H5" s="8">
        <v>8</v>
      </c>
      <c r="I5" s="12">
        <v>9</v>
      </c>
      <c r="J5" s="12">
        <v>10</v>
      </c>
      <c r="K5" s="12">
        <v>11</v>
      </c>
      <c r="L5" s="13">
        <v>12</v>
      </c>
      <c r="M5" s="8">
        <v>13</v>
      </c>
      <c r="N5" s="8">
        <v>14</v>
      </c>
      <c r="O5" s="7">
        <v>15</v>
      </c>
      <c r="Q5" s="31"/>
      <c r="R5" s="31"/>
      <c r="S5" s="32"/>
    </row>
    <row r="6" spans="1:22" ht="39.75" customHeight="1">
      <c r="A6" s="14" t="s">
        <v>41</v>
      </c>
      <c r="B6" s="15" t="s">
        <v>2</v>
      </c>
      <c r="C6" s="16">
        <f>D6+E6+F6</f>
        <v>310687000</v>
      </c>
      <c r="D6" s="17">
        <f>9388000+11355000+10060000</f>
        <v>30803000</v>
      </c>
      <c r="E6" s="17">
        <f>143252000</f>
        <v>143252000</v>
      </c>
      <c r="F6" s="17">
        <f>167000+134668000+105000+230000+415000+1047000</f>
        <v>136632000</v>
      </c>
      <c r="G6" s="18">
        <f>H6+I6+J6</f>
        <v>129132.92999999979</v>
      </c>
      <c r="H6" s="18">
        <f>112.53-2212088</f>
        <v>-2211975.47</v>
      </c>
      <c r="I6" s="18">
        <f>2212088</f>
        <v>2212088</v>
      </c>
      <c r="J6" s="18">
        <f>129020.4</f>
        <v>129020.4</v>
      </c>
      <c r="K6" s="19">
        <f>C6+G6</f>
        <v>310816132.93</v>
      </c>
      <c r="L6" s="20">
        <f aca="true" t="shared" si="0" ref="L6:L34">D6+H6</f>
        <v>28591024.53</v>
      </c>
      <c r="M6" s="20">
        <f>E6+I6</f>
        <v>145464088</v>
      </c>
      <c r="N6" s="20">
        <f>F6+J6</f>
        <v>136761020.4</v>
      </c>
      <c r="O6" s="21">
        <f>K6/C6%</f>
        <v>100.04156367340764</v>
      </c>
      <c r="Q6" s="31"/>
      <c r="R6" s="31"/>
      <c r="S6" s="31"/>
      <c r="T6" s="4"/>
      <c r="U6" s="4"/>
      <c r="V6" s="4"/>
    </row>
    <row r="7" spans="1:22" ht="42.75" customHeight="1">
      <c r="A7" s="14" t="s">
        <v>30</v>
      </c>
      <c r="B7" s="15" t="s">
        <v>31</v>
      </c>
      <c r="C7" s="16">
        <f aca="true" t="shared" si="1" ref="C7:C33">D7+E7+F7</f>
        <v>167000</v>
      </c>
      <c r="D7" s="17">
        <v>167000</v>
      </c>
      <c r="E7" s="17"/>
      <c r="F7" s="17"/>
      <c r="G7" s="18">
        <f>H7+I7+J7</f>
        <v>0</v>
      </c>
      <c r="H7" s="18"/>
      <c r="I7" s="18"/>
      <c r="J7" s="18"/>
      <c r="K7" s="19">
        <f aca="true" t="shared" si="2" ref="K7:K34">C7+G7</f>
        <v>167000</v>
      </c>
      <c r="L7" s="20">
        <f t="shared" si="0"/>
        <v>167000</v>
      </c>
      <c r="M7" s="20">
        <f aca="true" t="shared" si="3" ref="M7:M34">E7+I7</f>
        <v>0</v>
      </c>
      <c r="N7" s="20">
        <f aca="true" t="shared" si="4" ref="N7:N34">F7+J7</f>
        <v>0</v>
      </c>
      <c r="O7" s="21">
        <f>K7/C7%</f>
        <v>100</v>
      </c>
      <c r="Q7" s="31"/>
      <c r="R7" s="31"/>
      <c r="S7" s="32"/>
      <c r="U7" s="4"/>
      <c r="V7" s="4"/>
    </row>
    <row r="8" spans="1:22" ht="48" customHeight="1">
      <c r="A8" s="14" t="s">
        <v>3</v>
      </c>
      <c r="B8" s="22" t="s">
        <v>4</v>
      </c>
      <c r="C8" s="16">
        <f t="shared" si="1"/>
        <v>3643000</v>
      </c>
      <c r="D8" s="16">
        <f>140000</f>
        <v>140000</v>
      </c>
      <c r="E8" s="16"/>
      <c r="F8" s="17">
        <f>130000+3123000+250000</f>
        <v>3503000</v>
      </c>
      <c r="G8" s="18">
        <f aca="true" t="shared" si="5" ref="G8:G33">H8+I8+J8</f>
        <v>0</v>
      </c>
      <c r="H8" s="23"/>
      <c r="I8" s="23"/>
      <c r="J8" s="23"/>
      <c r="K8" s="19">
        <f>C8+G8</f>
        <v>3643000</v>
      </c>
      <c r="L8" s="20">
        <f t="shared" si="0"/>
        <v>140000</v>
      </c>
      <c r="M8" s="20">
        <f t="shared" si="3"/>
        <v>0</v>
      </c>
      <c r="N8" s="20">
        <f t="shared" si="4"/>
        <v>3503000</v>
      </c>
      <c r="O8" s="21">
        <f>K8/C8%</f>
        <v>100</v>
      </c>
      <c r="Q8" s="31"/>
      <c r="R8" s="31"/>
      <c r="S8" s="32"/>
      <c r="U8" s="4"/>
      <c r="V8" s="4"/>
    </row>
    <row r="9" spans="1:22" ht="48" customHeight="1" hidden="1">
      <c r="A9" s="14">
        <v>150</v>
      </c>
      <c r="B9" s="24" t="s">
        <v>28</v>
      </c>
      <c r="C9" s="16">
        <f t="shared" si="1"/>
        <v>0</v>
      </c>
      <c r="D9" s="16"/>
      <c r="E9" s="16"/>
      <c r="F9" s="17"/>
      <c r="G9" s="18">
        <f t="shared" si="5"/>
        <v>0</v>
      </c>
      <c r="H9" s="23"/>
      <c r="I9" s="23"/>
      <c r="J9" s="23"/>
      <c r="K9" s="19">
        <f t="shared" si="2"/>
        <v>0</v>
      </c>
      <c r="L9" s="20">
        <f t="shared" si="0"/>
        <v>0</v>
      </c>
      <c r="M9" s="20">
        <f t="shared" si="3"/>
        <v>0</v>
      </c>
      <c r="N9" s="20">
        <f t="shared" si="4"/>
        <v>0</v>
      </c>
      <c r="O9" s="21" t="e">
        <f>K9/C9%</f>
        <v>#DIV/0!</v>
      </c>
      <c r="Q9" s="31"/>
      <c r="R9" s="31"/>
      <c r="S9" s="32"/>
      <c r="U9" s="4"/>
      <c r="V9" s="4"/>
    </row>
    <row r="10" spans="1:22" ht="75.75" customHeight="1">
      <c r="A10" s="14">
        <v>400</v>
      </c>
      <c r="B10" s="24" t="s">
        <v>29</v>
      </c>
      <c r="C10" s="16">
        <f t="shared" si="1"/>
        <v>0</v>
      </c>
      <c r="D10" s="16"/>
      <c r="E10" s="16"/>
      <c r="F10" s="17"/>
      <c r="G10" s="18">
        <f t="shared" si="5"/>
        <v>0</v>
      </c>
      <c r="H10" s="23"/>
      <c r="I10" s="23"/>
      <c r="J10" s="23"/>
      <c r="K10" s="19">
        <f t="shared" si="2"/>
        <v>0</v>
      </c>
      <c r="L10" s="20">
        <f t="shared" si="0"/>
        <v>0</v>
      </c>
      <c r="M10" s="20">
        <f t="shared" si="3"/>
        <v>0</v>
      </c>
      <c r="N10" s="20">
        <f t="shared" si="4"/>
        <v>0</v>
      </c>
      <c r="O10" s="21" t="e">
        <f>K10/C10%</f>
        <v>#DIV/0!</v>
      </c>
      <c r="Q10" s="31"/>
      <c r="R10" s="31"/>
      <c r="S10" s="32"/>
      <c r="U10" s="4"/>
      <c r="V10" s="4"/>
    </row>
    <row r="11" spans="1:22" ht="48" customHeight="1">
      <c r="A11" s="14">
        <v>500</v>
      </c>
      <c r="B11" s="22" t="s">
        <v>5</v>
      </c>
      <c r="C11" s="16">
        <f t="shared" si="1"/>
        <v>7514000</v>
      </c>
      <c r="D11" s="16"/>
      <c r="E11" s="16"/>
      <c r="F11" s="17">
        <f>10000+7434000+70000</f>
        <v>7514000</v>
      </c>
      <c r="G11" s="18">
        <f>H11+I11+J11</f>
        <v>0</v>
      </c>
      <c r="H11" s="23"/>
      <c r="I11" s="23"/>
      <c r="J11" s="23"/>
      <c r="K11" s="19">
        <f t="shared" si="2"/>
        <v>7514000</v>
      </c>
      <c r="L11" s="20">
        <f t="shared" si="0"/>
        <v>0</v>
      </c>
      <c r="M11" s="20">
        <f t="shared" si="3"/>
        <v>0</v>
      </c>
      <c r="N11" s="20">
        <f t="shared" si="4"/>
        <v>7514000</v>
      </c>
      <c r="O11" s="21">
        <f aca="true" t="shared" si="6" ref="O11:O16">K11/C11%</f>
        <v>100</v>
      </c>
      <c r="Q11" s="31"/>
      <c r="R11" s="31"/>
      <c r="S11" s="32"/>
      <c r="U11" s="4"/>
      <c r="V11" s="4"/>
    </row>
    <row r="12" spans="1:22" ht="35.25" customHeight="1">
      <c r="A12" s="14">
        <v>600</v>
      </c>
      <c r="B12" s="22" t="s">
        <v>6</v>
      </c>
      <c r="C12" s="16">
        <f t="shared" si="1"/>
        <v>137319000</v>
      </c>
      <c r="D12" s="16">
        <f>62353000</f>
        <v>62353000</v>
      </c>
      <c r="E12" s="16"/>
      <c r="F12" s="17">
        <f>228000+57043000+17695000</f>
        <v>74966000</v>
      </c>
      <c r="G12" s="37">
        <f>H12+I12+J12</f>
        <v>20000717.04</v>
      </c>
      <c r="H12" s="23"/>
      <c r="I12" s="23"/>
      <c r="J12" s="23">
        <f>10480+11698361.38+8291875.66</f>
        <v>20000717.04</v>
      </c>
      <c r="K12" s="19">
        <f t="shared" si="2"/>
        <v>157319717.04</v>
      </c>
      <c r="L12" s="20">
        <f t="shared" si="0"/>
        <v>62353000</v>
      </c>
      <c r="M12" s="20">
        <f t="shared" si="3"/>
        <v>0</v>
      </c>
      <c r="N12" s="20">
        <f t="shared" si="4"/>
        <v>94966717.03999999</v>
      </c>
      <c r="O12" s="21">
        <f t="shared" si="6"/>
        <v>114.5651490616739</v>
      </c>
      <c r="Q12" s="31"/>
      <c r="R12" s="31"/>
      <c r="S12" s="32"/>
      <c r="U12" s="4"/>
      <c r="V12" s="4"/>
    </row>
    <row r="13" spans="1:22" ht="35.25" customHeight="1">
      <c r="A13" s="14">
        <v>630</v>
      </c>
      <c r="B13" s="22" t="s">
        <v>25</v>
      </c>
      <c r="C13" s="16">
        <f t="shared" si="1"/>
        <v>68000</v>
      </c>
      <c r="D13" s="16">
        <v>68000</v>
      </c>
      <c r="E13" s="16"/>
      <c r="F13" s="17"/>
      <c r="G13" s="18">
        <f t="shared" si="5"/>
        <v>0</v>
      </c>
      <c r="H13" s="23"/>
      <c r="I13" s="23"/>
      <c r="J13" s="23"/>
      <c r="K13" s="19">
        <f t="shared" si="2"/>
        <v>68000</v>
      </c>
      <c r="L13" s="20">
        <f t="shared" si="0"/>
        <v>68000</v>
      </c>
      <c r="M13" s="20">
        <f t="shared" si="3"/>
        <v>0</v>
      </c>
      <c r="N13" s="20">
        <f t="shared" si="4"/>
        <v>0</v>
      </c>
      <c r="O13" s="21">
        <f t="shared" si="6"/>
        <v>100</v>
      </c>
      <c r="Q13" s="31"/>
      <c r="R13" s="31"/>
      <c r="S13" s="32"/>
      <c r="U13" s="4"/>
      <c r="V13" s="4"/>
    </row>
    <row r="14" spans="1:22" ht="35.25" customHeight="1">
      <c r="A14" s="14">
        <v>700</v>
      </c>
      <c r="B14" s="24" t="s">
        <v>7</v>
      </c>
      <c r="C14" s="16">
        <f t="shared" si="1"/>
        <v>11199000</v>
      </c>
      <c r="D14" s="16">
        <v>10143000</v>
      </c>
      <c r="E14" s="16"/>
      <c r="F14" s="17">
        <f>1056000</f>
        <v>1056000</v>
      </c>
      <c r="G14" s="18">
        <f>H14+I14+J14</f>
        <v>20604974.7</v>
      </c>
      <c r="H14" s="23">
        <f>-650000+15300-62000-36788-68700</f>
        <v>-802188</v>
      </c>
      <c r="I14" s="23">
        <f>62000+68700</f>
        <v>130700</v>
      </c>
      <c r="J14" s="23">
        <f>650000+12703877.66+6385797.04+1500000+36788</f>
        <v>21276462.7</v>
      </c>
      <c r="K14" s="19">
        <f t="shared" si="2"/>
        <v>31803974.7</v>
      </c>
      <c r="L14" s="20">
        <f t="shared" si="0"/>
        <v>9340812</v>
      </c>
      <c r="M14" s="20">
        <f t="shared" si="3"/>
        <v>130700</v>
      </c>
      <c r="N14" s="20">
        <f t="shared" si="4"/>
        <v>22332462.7</v>
      </c>
      <c r="O14" s="21">
        <f t="shared" si="6"/>
        <v>283.98941601928743</v>
      </c>
      <c r="Q14" s="31"/>
      <c r="R14" s="31"/>
      <c r="S14" s="32"/>
      <c r="U14" s="4"/>
      <c r="V14" s="4"/>
    </row>
    <row r="15" spans="1:22" ht="40.5" customHeight="1">
      <c r="A15" s="14">
        <v>710</v>
      </c>
      <c r="B15" s="22" t="s">
        <v>8</v>
      </c>
      <c r="C15" s="16">
        <f t="shared" si="1"/>
        <v>41827000</v>
      </c>
      <c r="D15" s="16">
        <f>34760000</f>
        <v>34760000</v>
      </c>
      <c r="E15" s="16">
        <f>184000</f>
        <v>184000</v>
      </c>
      <c r="F15" s="17">
        <f>8000+5734000+1141000</f>
        <v>6883000</v>
      </c>
      <c r="G15" s="18">
        <f t="shared" si="5"/>
        <v>61507</v>
      </c>
      <c r="H15" s="23"/>
      <c r="I15" s="23"/>
      <c r="J15" s="23">
        <f>61507</f>
        <v>61507</v>
      </c>
      <c r="K15" s="19">
        <f t="shared" si="2"/>
        <v>41888507</v>
      </c>
      <c r="L15" s="20">
        <f t="shared" si="0"/>
        <v>34760000</v>
      </c>
      <c r="M15" s="20">
        <f t="shared" si="3"/>
        <v>184000</v>
      </c>
      <c r="N15" s="20">
        <f t="shared" si="4"/>
        <v>6944507</v>
      </c>
      <c r="O15" s="21">
        <f t="shared" si="6"/>
        <v>100.14705094795228</v>
      </c>
      <c r="Q15" s="31"/>
      <c r="R15" s="31"/>
      <c r="S15" s="32"/>
      <c r="U15" s="4"/>
      <c r="V15" s="4"/>
    </row>
    <row r="16" spans="1:22" ht="23.25" customHeight="1" hidden="1">
      <c r="A16" s="14">
        <v>720</v>
      </c>
      <c r="B16" s="22" t="s">
        <v>9</v>
      </c>
      <c r="C16" s="16">
        <f t="shared" si="1"/>
        <v>0</v>
      </c>
      <c r="D16" s="16"/>
      <c r="E16" s="16"/>
      <c r="F16" s="17"/>
      <c r="G16" s="18">
        <f t="shared" si="5"/>
        <v>0</v>
      </c>
      <c r="H16" s="23"/>
      <c r="I16" s="23"/>
      <c r="J16" s="23"/>
      <c r="K16" s="19">
        <f t="shared" si="2"/>
        <v>0</v>
      </c>
      <c r="L16" s="20">
        <f t="shared" si="0"/>
        <v>0</v>
      </c>
      <c r="M16" s="20">
        <f t="shared" si="3"/>
        <v>0</v>
      </c>
      <c r="N16" s="20">
        <f t="shared" si="4"/>
        <v>0</v>
      </c>
      <c r="O16" s="21" t="e">
        <f t="shared" si="6"/>
        <v>#DIV/0!</v>
      </c>
      <c r="Q16" s="31"/>
      <c r="R16" s="31"/>
      <c r="S16" s="32"/>
      <c r="U16" s="4"/>
      <c r="V16" s="4"/>
    </row>
    <row r="17" spans="1:22" ht="21" customHeight="1" hidden="1">
      <c r="A17" s="14">
        <v>730</v>
      </c>
      <c r="B17" s="22" t="s">
        <v>24</v>
      </c>
      <c r="C17" s="16">
        <f t="shared" si="1"/>
        <v>0</v>
      </c>
      <c r="D17" s="16"/>
      <c r="E17" s="16"/>
      <c r="F17" s="17"/>
      <c r="G17" s="18">
        <f t="shared" si="5"/>
        <v>0</v>
      </c>
      <c r="H17" s="23"/>
      <c r="I17" s="23"/>
      <c r="J17" s="23"/>
      <c r="K17" s="19">
        <f t="shared" si="2"/>
        <v>0</v>
      </c>
      <c r="L17" s="20">
        <f t="shared" si="0"/>
        <v>0</v>
      </c>
      <c r="M17" s="20">
        <f t="shared" si="3"/>
        <v>0</v>
      </c>
      <c r="N17" s="20">
        <f t="shared" si="4"/>
        <v>0</v>
      </c>
      <c r="O17" s="21"/>
      <c r="Q17" s="31"/>
      <c r="R17" s="31"/>
      <c r="S17" s="32"/>
      <c r="U17" s="4"/>
      <c r="V17" s="4"/>
    </row>
    <row r="18" spans="1:22" ht="39.75" customHeight="1">
      <c r="A18" s="14">
        <v>750</v>
      </c>
      <c r="B18" s="22" t="s">
        <v>10</v>
      </c>
      <c r="C18" s="16">
        <f t="shared" si="1"/>
        <v>128807000</v>
      </c>
      <c r="D18" s="16">
        <f>29722000+44000</f>
        <v>29766000</v>
      </c>
      <c r="E18" s="16"/>
      <c r="F18" s="17">
        <f>147000+95085000+1928000+1881000</f>
        <v>99041000</v>
      </c>
      <c r="G18" s="18">
        <f t="shared" si="5"/>
        <v>43850.44</v>
      </c>
      <c r="H18" s="23"/>
      <c r="I18" s="23"/>
      <c r="J18" s="23">
        <f>43850.44</f>
        <v>43850.44</v>
      </c>
      <c r="K18" s="19">
        <f>C18+G18</f>
        <v>128850850.44</v>
      </c>
      <c r="L18" s="20">
        <f t="shared" si="0"/>
        <v>29766000</v>
      </c>
      <c r="M18" s="20">
        <f t="shared" si="3"/>
        <v>0</v>
      </c>
      <c r="N18" s="20">
        <f t="shared" si="4"/>
        <v>99084850.44</v>
      </c>
      <c r="O18" s="21">
        <f aca="true" t="shared" si="7" ref="O18:O35">K18/C18%</f>
        <v>100.03404352247937</v>
      </c>
      <c r="Q18" s="31"/>
      <c r="R18" s="31"/>
      <c r="S18" s="31"/>
      <c r="U18" s="4"/>
      <c r="V18" s="4"/>
    </row>
    <row r="19" spans="1:22" ht="39" customHeight="1">
      <c r="A19" s="14">
        <v>752</v>
      </c>
      <c r="B19" s="22" t="s">
        <v>11</v>
      </c>
      <c r="C19" s="16">
        <f t="shared" si="1"/>
        <v>2972000</v>
      </c>
      <c r="D19" s="16">
        <v>2808000</v>
      </c>
      <c r="E19" s="16"/>
      <c r="F19" s="17">
        <f>7000+157000</f>
        <v>164000</v>
      </c>
      <c r="G19" s="18">
        <f>H19+I19+J19</f>
        <v>0</v>
      </c>
      <c r="H19" s="23"/>
      <c r="I19" s="23"/>
      <c r="J19" s="23"/>
      <c r="K19" s="19">
        <f>C19+G19</f>
        <v>2972000</v>
      </c>
      <c r="L19" s="20">
        <f t="shared" si="0"/>
        <v>2808000</v>
      </c>
      <c r="M19" s="20">
        <f t="shared" si="3"/>
        <v>0</v>
      </c>
      <c r="N19" s="20">
        <f t="shared" si="4"/>
        <v>164000</v>
      </c>
      <c r="O19" s="21">
        <f t="shared" si="7"/>
        <v>100</v>
      </c>
      <c r="Q19" s="31"/>
      <c r="R19" s="31"/>
      <c r="S19" s="32"/>
      <c r="U19" s="4"/>
      <c r="V19" s="4"/>
    </row>
    <row r="20" spans="1:22" ht="56.25" customHeight="1">
      <c r="A20" s="14">
        <v>754</v>
      </c>
      <c r="B20" s="24" t="s">
        <v>12</v>
      </c>
      <c r="C20" s="16">
        <f t="shared" si="1"/>
        <v>282860000</v>
      </c>
      <c r="D20" s="16">
        <f>236954000</f>
        <v>236954000</v>
      </c>
      <c r="E20" s="16">
        <f>18200000</f>
        <v>18200000</v>
      </c>
      <c r="F20" s="17">
        <f>283000+18089000+3450000+4496000+1388000</f>
        <v>27706000</v>
      </c>
      <c r="G20" s="18">
        <f t="shared" si="5"/>
        <v>0</v>
      </c>
      <c r="H20" s="23"/>
      <c r="I20" s="23"/>
      <c r="J20" s="23"/>
      <c r="K20" s="19">
        <f t="shared" si="2"/>
        <v>282860000</v>
      </c>
      <c r="L20" s="20">
        <f t="shared" si="0"/>
        <v>236954000</v>
      </c>
      <c r="M20" s="20">
        <f t="shared" si="3"/>
        <v>18200000</v>
      </c>
      <c r="N20" s="20">
        <f t="shared" si="4"/>
        <v>27706000</v>
      </c>
      <c r="O20" s="21">
        <f t="shared" si="7"/>
        <v>100</v>
      </c>
      <c r="Q20" s="31"/>
      <c r="R20" s="31"/>
      <c r="S20" s="32"/>
      <c r="U20" s="4"/>
      <c r="V20" s="4"/>
    </row>
    <row r="21" spans="1:22" ht="36.75" customHeight="1">
      <c r="A21" s="14">
        <v>755</v>
      </c>
      <c r="B21" s="24" t="s">
        <v>36</v>
      </c>
      <c r="C21" s="16">
        <f t="shared" si="1"/>
        <v>5981000</v>
      </c>
      <c r="D21" s="16">
        <v>5981000</v>
      </c>
      <c r="E21" s="16"/>
      <c r="F21" s="17"/>
      <c r="G21" s="18">
        <f t="shared" si="5"/>
        <v>0</v>
      </c>
      <c r="H21" s="23"/>
      <c r="I21" s="23"/>
      <c r="J21" s="23"/>
      <c r="K21" s="19">
        <f t="shared" si="2"/>
        <v>5981000</v>
      </c>
      <c r="L21" s="20">
        <f t="shared" si="0"/>
        <v>5981000</v>
      </c>
      <c r="M21" s="20">
        <f t="shared" si="3"/>
        <v>0</v>
      </c>
      <c r="N21" s="20">
        <f t="shared" si="4"/>
        <v>0</v>
      </c>
      <c r="O21" s="21">
        <f t="shared" si="7"/>
        <v>100</v>
      </c>
      <c r="Q21" s="31"/>
      <c r="R21" s="31"/>
      <c r="S21" s="32"/>
      <c r="U21" s="4"/>
      <c r="V21" s="4"/>
    </row>
    <row r="22" spans="1:22" ht="126.75" customHeight="1">
      <c r="A22" s="14">
        <v>756</v>
      </c>
      <c r="B22" s="25" t="s">
        <v>27</v>
      </c>
      <c r="C22" s="16">
        <f t="shared" si="1"/>
        <v>0</v>
      </c>
      <c r="D22" s="16"/>
      <c r="E22" s="16"/>
      <c r="F22" s="17"/>
      <c r="G22" s="18">
        <f t="shared" si="5"/>
        <v>0</v>
      </c>
      <c r="H22" s="23"/>
      <c r="I22" s="23"/>
      <c r="J22" s="23"/>
      <c r="K22" s="19">
        <f t="shared" si="2"/>
        <v>0</v>
      </c>
      <c r="L22" s="20">
        <f t="shared" si="0"/>
        <v>0</v>
      </c>
      <c r="M22" s="20">
        <f t="shared" si="3"/>
        <v>0</v>
      </c>
      <c r="N22" s="20">
        <f t="shared" si="4"/>
        <v>0</v>
      </c>
      <c r="O22" s="21" t="e">
        <f t="shared" si="7"/>
        <v>#DIV/0!</v>
      </c>
      <c r="Q22" s="33"/>
      <c r="R22" s="31"/>
      <c r="S22" s="32"/>
      <c r="U22" s="4"/>
      <c r="V22" s="4"/>
    </row>
    <row r="23" spans="1:22" ht="36.75" customHeight="1">
      <c r="A23" s="14">
        <v>758</v>
      </c>
      <c r="B23" s="22" t="s">
        <v>13</v>
      </c>
      <c r="C23" s="16">
        <f t="shared" si="1"/>
        <v>17164000</v>
      </c>
      <c r="D23" s="16">
        <f>4122000+160000</f>
        <v>4282000</v>
      </c>
      <c r="E23" s="16">
        <f>60000</f>
        <v>60000</v>
      </c>
      <c r="F23" s="17">
        <f>12822000</f>
        <v>12822000</v>
      </c>
      <c r="G23" s="18">
        <f t="shared" si="5"/>
        <v>-356077.33999999997</v>
      </c>
      <c r="H23" s="23"/>
      <c r="I23" s="23"/>
      <c r="J23" s="23">
        <f>-100000-129020.4-40445.88-61507-21600-3504.06</f>
        <v>-356077.33999999997</v>
      </c>
      <c r="K23" s="19">
        <f t="shared" si="2"/>
        <v>16807922.66</v>
      </c>
      <c r="L23" s="20">
        <f t="shared" si="0"/>
        <v>4282000</v>
      </c>
      <c r="M23" s="20">
        <f t="shared" si="3"/>
        <v>60000</v>
      </c>
      <c r="N23" s="20">
        <f t="shared" si="4"/>
        <v>12465922.66</v>
      </c>
      <c r="O23" s="21">
        <f t="shared" si="7"/>
        <v>97.92544080633886</v>
      </c>
      <c r="Q23" s="31"/>
      <c r="R23" s="31"/>
      <c r="S23" s="31"/>
      <c r="U23" s="4"/>
      <c r="V23" s="4"/>
    </row>
    <row r="24" spans="1:22" ht="33.75" customHeight="1">
      <c r="A24" s="14">
        <v>801</v>
      </c>
      <c r="B24" s="22" t="s">
        <v>14</v>
      </c>
      <c r="C24" s="16">
        <f t="shared" si="1"/>
        <v>24115000</v>
      </c>
      <c r="D24" s="16">
        <v>5843000</v>
      </c>
      <c r="E24" s="16"/>
      <c r="F24" s="17">
        <f>812000+17410000+50000</f>
        <v>18272000</v>
      </c>
      <c r="G24" s="18">
        <f t="shared" si="5"/>
        <v>235640641.81</v>
      </c>
      <c r="H24" s="23">
        <f>76700+235271062</f>
        <v>235347762</v>
      </c>
      <c r="I24" s="23">
        <f>192879.81</f>
        <v>192879.81</v>
      </c>
      <c r="J24" s="23">
        <f>100000</f>
        <v>100000</v>
      </c>
      <c r="K24" s="19">
        <f t="shared" si="2"/>
        <v>259755641.81</v>
      </c>
      <c r="L24" s="20">
        <f t="shared" si="0"/>
        <v>241190762</v>
      </c>
      <c r="M24" s="20">
        <f t="shared" si="3"/>
        <v>192879.81</v>
      </c>
      <c r="N24" s="20">
        <f t="shared" si="4"/>
        <v>18372000</v>
      </c>
      <c r="O24" s="21">
        <f t="shared" si="7"/>
        <v>1077.1538121915821</v>
      </c>
      <c r="Q24" s="31"/>
      <c r="R24" s="31"/>
      <c r="S24" s="31"/>
      <c r="U24" s="4"/>
      <c r="V24" s="4"/>
    </row>
    <row r="25" spans="1:22" ht="24.75" customHeight="1" hidden="1">
      <c r="A25" s="14">
        <v>803</v>
      </c>
      <c r="B25" s="22" t="s">
        <v>23</v>
      </c>
      <c r="C25" s="16">
        <f t="shared" si="1"/>
        <v>0</v>
      </c>
      <c r="D25" s="16"/>
      <c r="E25" s="16"/>
      <c r="F25" s="17"/>
      <c r="G25" s="18">
        <f t="shared" si="5"/>
        <v>0</v>
      </c>
      <c r="H25" s="23"/>
      <c r="I25" s="23"/>
      <c r="J25" s="23"/>
      <c r="K25" s="19">
        <f t="shared" si="2"/>
        <v>0</v>
      </c>
      <c r="L25" s="20">
        <f t="shared" si="0"/>
        <v>0</v>
      </c>
      <c r="M25" s="20">
        <f t="shared" si="3"/>
        <v>0</v>
      </c>
      <c r="N25" s="20">
        <f t="shared" si="4"/>
        <v>0</v>
      </c>
      <c r="O25" s="21" t="e">
        <f t="shared" si="7"/>
        <v>#DIV/0!</v>
      </c>
      <c r="Q25" s="31"/>
      <c r="R25" s="31"/>
      <c r="S25" s="32"/>
      <c r="U25" s="4"/>
      <c r="V25" s="4"/>
    </row>
    <row r="26" spans="1:22" ht="34.5" customHeight="1">
      <c r="A26" s="14">
        <v>851</v>
      </c>
      <c r="B26" s="22" t="s">
        <v>15</v>
      </c>
      <c r="C26" s="16">
        <f t="shared" si="1"/>
        <v>277471000</v>
      </c>
      <c r="D26" s="16">
        <v>27625000</v>
      </c>
      <c r="E26" s="16">
        <f>300000</f>
        <v>300000</v>
      </c>
      <c r="F26" s="17">
        <f>449000+247332000+1567000+90000+88000+20000</f>
        <v>249546000</v>
      </c>
      <c r="G26" s="18">
        <f t="shared" si="5"/>
        <v>997958.94</v>
      </c>
      <c r="H26" s="23">
        <f>21600</f>
        <v>21600</v>
      </c>
      <c r="I26" s="23">
        <f>932409</f>
        <v>932409</v>
      </c>
      <c r="J26" s="23">
        <f>40445.88+3504.06</f>
        <v>43949.939999999995</v>
      </c>
      <c r="K26" s="19">
        <f t="shared" si="2"/>
        <v>278468958.94</v>
      </c>
      <c r="L26" s="20">
        <f t="shared" si="0"/>
        <v>27646600</v>
      </c>
      <c r="M26" s="20">
        <f t="shared" si="3"/>
        <v>1232409</v>
      </c>
      <c r="N26" s="20">
        <f t="shared" si="4"/>
        <v>249589949.94</v>
      </c>
      <c r="O26" s="21">
        <f t="shared" si="7"/>
        <v>100.35966242958723</v>
      </c>
      <c r="Q26" s="31"/>
      <c r="R26" s="31"/>
      <c r="S26" s="32"/>
      <c r="U26" s="4"/>
      <c r="V26" s="4"/>
    </row>
    <row r="27" spans="1:22" ht="50.25" customHeight="1">
      <c r="A27" s="14">
        <v>852</v>
      </c>
      <c r="B27" s="22" t="s">
        <v>16</v>
      </c>
      <c r="C27" s="16">
        <f t="shared" si="1"/>
        <v>310816000</v>
      </c>
      <c r="D27" s="16">
        <v>310816000</v>
      </c>
      <c r="E27" s="16"/>
      <c r="F27" s="17"/>
      <c r="G27" s="18">
        <f t="shared" si="5"/>
        <v>33425668.17</v>
      </c>
      <c r="H27" s="23">
        <f>80000+33345668.17-74585</f>
        <v>33351083.17</v>
      </c>
      <c r="I27" s="23">
        <f>74585</f>
        <v>74585</v>
      </c>
      <c r="J27" s="23"/>
      <c r="K27" s="19">
        <f>C27+G27</f>
        <v>344241668.17</v>
      </c>
      <c r="L27" s="20">
        <f>D27+H27</f>
        <v>344167083.17</v>
      </c>
      <c r="M27" s="20">
        <f t="shared" si="3"/>
        <v>74585</v>
      </c>
      <c r="N27" s="20">
        <f t="shared" si="4"/>
        <v>0</v>
      </c>
      <c r="O27" s="21">
        <f t="shared" si="7"/>
        <v>110.75416586340472</v>
      </c>
      <c r="Q27" s="31"/>
      <c r="R27" s="31"/>
      <c r="S27" s="32"/>
      <c r="U27" s="4"/>
      <c r="V27" s="4"/>
    </row>
    <row r="28" spans="1:22" ht="51" customHeight="1">
      <c r="A28" s="14">
        <v>853</v>
      </c>
      <c r="B28" s="24" t="s">
        <v>17</v>
      </c>
      <c r="C28" s="16">
        <f t="shared" si="1"/>
        <v>32891000</v>
      </c>
      <c r="D28" s="16">
        <v>17438000</v>
      </c>
      <c r="E28" s="16"/>
      <c r="F28" s="17">
        <f>3000+15450000</f>
        <v>15453000</v>
      </c>
      <c r="G28" s="18">
        <f t="shared" si="5"/>
        <v>1127205.66</v>
      </c>
      <c r="H28" s="23">
        <f>569209+346591.66</f>
        <v>915800.6599999999</v>
      </c>
      <c r="I28" s="23">
        <f>211405</f>
        <v>211405</v>
      </c>
      <c r="J28" s="23"/>
      <c r="K28" s="19">
        <f t="shared" si="2"/>
        <v>34018205.66</v>
      </c>
      <c r="L28" s="20">
        <f t="shared" si="0"/>
        <v>18353800.66</v>
      </c>
      <c r="M28" s="20">
        <f t="shared" si="3"/>
        <v>211405</v>
      </c>
      <c r="N28" s="20">
        <f t="shared" si="4"/>
        <v>15453000</v>
      </c>
      <c r="O28" s="21">
        <f t="shared" si="7"/>
        <v>103.42709452433796</v>
      </c>
      <c r="Q28" s="31"/>
      <c r="R28" s="31"/>
      <c r="S28" s="32"/>
      <c r="U28" s="4"/>
      <c r="V28" s="4"/>
    </row>
    <row r="29" spans="1:22" ht="55.5" customHeight="1">
      <c r="A29" s="14">
        <v>854</v>
      </c>
      <c r="B29" s="24" t="s">
        <v>18</v>
      </c>
      <c r="C29" s="16">
        <f t="shared" si="1"/>
        <v>1735000</v>
      </c>
      <c r="D29" s="16">
        <v>1735000</v>
      </c>
      <c r="E29" s="16"/>
      <c r="F29" s="17"/>
      <c r="G29" s="18">
        <f>H29+I29+J29</f>
        <v>228000</v>
      </c>
      <c r="H29" s="23">
        <f>228000</f>
        <v>228000</v>
      </c>
      <c r="I29" s="23"/>
      <c r="J29" s="23"/>
      <c r="K29" s="19">
        <f>C29+G29</f>
        <v>1963000</v>
      </c>
      <c r="L29" s="20">
        <f>D29+H29</f>
        <v>1963000</v>
      </c>
      <c r="M29" s="20">
        <f t="shared" si="3"/>
        <v>0</v>
      </c>
      <c r="N29" s="20">
        <f t="shared" si="4"/>
        <v>0</v>
      </c>
      <c r="O29" s="21">
        <f t="shared" si="7"/>
        <v>113.14121037463977</v>
      </c>
      <c r="Q29" s="31"/>
      <c r="R29" s="31"/>
      <c r="S29" s="31"/>
      <c r="U29" s="4"/>
      <c r="V29" s="4"/>
    </row>
    <row r="30" spans="1:22" ht="39" customHeight="1">
      <c r="A30" s="14">
        <v>855</v>
      </c>
      <c r="B30" s="24" t="s">
        <v>40</v>
      </c>
      <c r="C30" s="34">
        <f t="shared" si="1"/>
        <v>1218667000</v>
      </c>
      <c r="D30" s="16">
        <f>1209881000+2758000</f>
        <v>1212639000</v>
      </c>
      <c r="E30" s="16">
        <f>180000</f>
        <v>180000</v>
      </c>
      <c r="F30" s="17">
        <f>6000+5800000+42000</f>
        <v>5848000</v>
      </c>
      <c r="G30" s="18">
        <f>H30+I30+J30</f>
        <v>0</v>
      </c>
      <c r="H30" s="23"/>
      <c r="I30" s="23"/>
      <c r="J30" s="23"/>
      <c r="K30" s="19">
        <f>C30+G30</f>
        <v>1218667000</v>
      </c>
      <c r="L30" s="20">
        <f t="shared" si="0"/>
        <v>1212639000</v>
      </c>
      <c r="M30" s="20">
        <f t="shared" si="3"/>
        <v>180000</v>
      </c>
      <c r="N30" s="20">
        <f t="shared" si="4"/>
        <v>5848000</v>
      </c>
      <c r="O30" s="21">
        <f t="shared" si="7"/>
        <v>100</v>
      </c>
      <c r="Q30" s="31"/>
      <c r="R30" s="31"/>
      <c r="S30" s="32"/>
      <c r="U30" s="4"/>
      <c r="V30" s="4"/>
    </row>
    <row r="31" spans="1:22" ht="51" customHeight="1">
      <c r="A31" s="14">
        <v>900</v>
      </c>
      <c r="B31" s="24" t="s">
        <v>19</v>
      </c>
      <c r="C31" s="16">
        <f t="shared" si="1"/>
        <v>16662000</v>
      </c>
      <c r="D31" s="16">
        <v>281000</v>
      </c>
      <c r="E31" s="16"/>
      <c r="F31" s="17">
        <f>30000+16241000+110000</f>
        <v>16381000</v>
      </c>
      <c r="G31" s="18">
        <f t="shared" si="5"/>
        <v>0</v>
      </c>
      <c r="H31" s="23"/>
      <c r="I31" s="23"/>
      <c r="J31" s="23"/>
      <c r="K31" s="19">
        <f t="shared" si="2"/>
        <v>16662000</v>
      </c>
      <c r="L31" s="20">
        <f t="shared" si="0"/>
        <v>281000</v>
      </c>
      <c r="M31" s="20">
        <f t="shared" si="3"/>
        <v>0</v>
      </c>
      <c r="N31" s="20">
        <f t="shared" si="4"/>
        <v>16381000</v>
      </c>
      <c r="O31" s="21">
        <f t="shared" si="7"/>
        <v>100</v>
      </c>
      <c r="Q31" s="31"/>
      <c r="R31" s="31"/>
      <c r="S31" s="32"/>
      <c r="U31" s="4"/>
      <c r="V31" s="4"/>
    </row>
    <row r="32" spans="1:22" ht="45" customHeight="1">
      <c r="A32" s="14">
        <v>921</v>
      </c>
      <c r="B32" s="24" t="s">
        <v>20</v>
      </c>
      <c r="C32" s="16">
        <f t="shared" si="1"/>
        <v>18485000</v>
      </c>
      <c r="D32" s="16">
        <v>9392000</v>
      </c>
      <c r="E32" s="16"/>
      <c r="F32" s="17">
        <f>15000+8648000+430000</f>
        <v>9093000</v>
      </c>
      <c r="G32" s="18">
        <f t="shared" si="5"/>
        <v>0</v>
      </c>
      <c r="H32" s="23"/>
      <c r="I32" s="23"/>
      <c r="J32" s="23"/>
      <c r="K32" s="19">
        <f t="shared" si="2"/>
        <v>18485000</v>
      </c>
      <c r="L32" s="20">
        <f t="shared" si="0"/>
        <v>9392000</v>
      </c>
      <c r="M32" s="20">
        <f t="shared" si="3"/>
        <v>0</v>
      </c>
      <c r="N32" s="20">
        <f t="shared" si="4"/>
        <v>9093000</v>
      </c>
      <c r="O32" s="21">
        <f t="shared" si="7"/>
        <v>100</v>
      </c>
      <c r="Q32" s="31"/>
      <c r="R32" s="31"/>
      <c r="S32" s="32"/>
      <c r="U32" s="4"/>
      <c r="V32" s="4"/>
    </row>
    <row r="33" spans="1:22" ht="92.25" customHeight="1">
      <c r="A33" s="14">
        <v>925</v>
      </c>
      <c r="B33" s="24" t="s">
        <v>21</v>
      </c>
      <c r="C33" s="16">
        <f t="shared" si="1"/>
        <v>650000</v>
      </c>
      <c r="D33" s="16">
        <v>650000</v>
      </c>
      <c r="E33" s="16"/>
      <c r="F33" s="17"/>
      <c r="G33" s="18">
        <f t="shared" si="5"/>
        <v>0</v>
      </c>
      <c r="H33" s="23"/>
      <c r="I33" s="23"/>
      <c r="J33" s="23"/>
      <c r="K33" s="19">
        <f t="shared" si="2"/>
        <v>650000</v>
      </c>
      <c r="L33" s="20">
        <f t="shared" si="0"/>
        <v>650000</v>
      </c>
      <c r="M33" s="20">
        <f t="shared" si="3"/>
        <v>0</v>
      </c>
      <c r="N33" s="20">
        <f t="shared" si="4"/>
        <v>0</v>
      </c>
      <c r="O33" s="21">
        <f t="shared" si="7"/>
        <v>100</v>
      </c>
      <c r="Q33" s="31"/>
      <c r="R33" s="31"/>
      <c r="S33" s="32"/>
      <c r="U33" s="4"/>
      <c r="V33" s="4"/>
    </row>
    <row r="34" spans="1:22" ht="35.25" customHeight="1" hidden="1">
      <c r="A34" s="14">
        <v>926</v>
      </c>
      <c r="B34" s="24" t="s">
        <v>26</v>
      </c>
      <c r="C34" s="16">
        <f>D34+E34</f>
        <v>0</v>
      </c>
      <c r="D34" s="16"/>
      <c r="E34" s="16"/>
      <c r="F34" s="17"/>
      <c r="G34" s="18">
        <f>H34+I34+J34</f>
        <v>0</v>
      </c>
      <c r="H34" s="23"/>
      <c r="I34" s="23"/>
      <c r="J34" s="23"/>
      <c r="K34" s="19">
        <f t="shared" si="2"/>
        <v>0</v>
      </c>
      <c r="L34" s="19">
        <f t="shared" si="0"/>
        <v>0</v>
      </c>
      <c r="M34" s="19">
        <f t="shared" si="3"/>
        <v>0</v>
      </c>
      <c r="N34" s="20">
        <f t="shared" si="4"/>
        <v>0</v>
      </c>
      <c r="O34" s="21" t="e">
        <f t="shared" si="7"/>
        <v>#DIV/0!</v>
      </c>
      <c r="Q34" s="31"/>
      <c r="R34" s="31"/>
      <c r="S34" s="32"/>
      <c r="U34" s="4"/>
      <c r="V34" s="4"/>
    </row>
    <row r="35" spans="1:19" ht="27.75" customHeight="1">
      <c r="A35" s="41" t="s">
        <v>22</v>
      </c>
      <c r="B35" s="42"/>
      <c r="C35" s="26">
        <f>SUM(C6:C34)</f>
        <v>2851700000</v>
      </c>
      <c r="D35" s="26">
        <f>SUM(D6:D34)</f>
        <v>2004644000</v>
      </c>
      <c r="E35" s="26">
        <f aca="true" t="shared" si="8" ref="E35:L35">SUM(E6:E34)</f>
        <v>162176000</v>
      </c>
      <c r="F35" s="26">
        <f t="shared" si="8"/>
        <v>684880000</v>
      </c>
      <c r="G35" s="27">
        <f>SUM(G6:G34)</f>
        <v>311903579.35</v>
      </c>
      <c r="H35" s="27">
        <f t="shared" si="8"/>
        <v>266850082.35999998</v>
      </c>
      <c r="I35" s="27">
        <f t="shared" si="8"/>
        <v>3754066.81</v>
      </c>
      <c r="J35" s="27">
        <f t="shared" si="8"/>
        <v>41299430.17999999</v>
      </c>
      <c r="K35" s="27">
        <f>SUM(K6:K34)</f>
        <v>3163603579.3500004</v>
      </c>
      <c r="L35" s="27">
        <f t="shared" si="8"/>
        <v>2271494082.36</v>
      </c>
      <c r="M35" s="27">
        <f>SUM(M6:M34)</f>
        <v>165930066.81</v>
      </c>
      <c r="N35" s="27">
        <f>SUM(N6:N34)</f>
        <v>726179430.1800001</v>
      </c>
      <c r="O35" s="28">
        <f t="shared" si="7"/>
        <v>110.93746114072309</v>
      </c>
      <c r="Q35" s="31"/>
      <c r="R35" s="31"/>
      <c r="S35" s="32"/>
    </row>
    <row r="36" spans="1:15" ht="39.75" customHeight="1">
      <c r="A36" s="43" t="s">
        <v>43</v>
      </c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5"/>
    </row>
    <row r="37" spans="1:18" s="6" customFormat="1" ht="31.5" customHeight="1">
      <c r="A37" s="44" t="s">
        <v>44</v>
      </c>
      <c r="B37" s="44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6"/>
      <c r="Q37" s="30"/>
      <c r="R37" s="30"/>
    </row>
    <row r="38" spans="1:18" s="6" customFormat="1" ht="5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Q38" s="30"/>
      <c r="R38" s="30"/>
    </row>
    <row r="39" spans="1:15" ht="22.5" customHeight="1">
      <c r="A39" s="29"/>
      <c r="B39" s="6"/>
      <c r="G39" s="2"/>
      <c r="K39" s="2"/>
      <c r="L39" s="40"/>
      <c r="M39" s="40"/>
      <c r="N39" s="40"/>
      <c r="O39" s="40"/>
    </row>
    <row r="40" spans="1:15" ht="12.75" customHeight="1">
      <c r="A40" s="3"/>
      <c r="G40" s="2"/>
      <c r="L40" s="40"/>
      <c r="M40" s="40"/>
      <c r="N40" s="40"/>
      <c r="O40" s="40"/>
    </row>
    <row r="41" spans="2:15" ht="15.75">
      <c r="B41" s="5"/>
      <c r="L41" s="40"/>
      <c r="M41" s="40"/>
      <c r="N41" s="40"/>
      <c r="O41" s="40"/>
    </row>
  </sheetData>
  <sheetProtection/>
  <mergeCells count="16">
    <mergeCell ref="A1:O1"/>
    <mergeCell ref="A3:A4"/>
    <mergeCell ref="B3:B4"/>
    <mergeCell ref="C3:C4"/>
    <mergeCell ref="G3:G4"/>
    <mergeCell ref="L3:N3"/>
    <mergeCell ref="H3:J3"/>
    <mergeCell ref="D3:F3"/>
    <mergeCell ref="K3:K4"/>
    <mergeCell ref="O3:O4"/>
    <mergeCell ref="L41:O41"/>
    <mergeCell ref="L39:O39"/>
    <mergeCell ref="L40:O40"/>
    <mergeCell ref="A35:B35"/>
    <mergeCell ref="A36:B36"/>
    <mergeCell ref="A37:B37"/>
  </mergeCells>
  <printOptions horizontalCentered="1"/>
  <pageMargins left="0" right="0" top="0.1968503937007874" bottom="0.1968503937007874" header="0" footer="0"/>
  <pageSetup horizontalDpi="600" verticalDpi="600" orientation="landscape" paperSize="9" scale="36" r:id="rId1"/>
  <headerFooter alignWithMargins="0">
    <oddFooter>&amp;LZał. Nr 1 
do pisma znak: F-VI.3121.4.6.2024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zabek</dc:creator>
  <cp:keywords/>
  <dc:description/>
  <cp:lastModifiedBy>Kamila Placha-Bogacz</cp:lastModifiedBy>
  <cp:lastPrinted>2024-04-02T05:14:00Z</cp:lastPrinted>
  <dcterms:created xsi:type="dcterms:W3CDTF">2005-05-12T09:31:11Z</dcterms:created>
  <dcterms:modified xsi:type="dcterms:W3CDTF">2024-04-02T06:10:05Z</dcterms:modified>
  <cp:category/>
  <cp:version/>
  <cp:contentType/>
  <cp:contentStatus/>
</cp:coreProperties>
</file>