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ST\ST7\BeSTi@\2022\II KWARTAŁ\www\MF\Zestawienia zbiorcze\"/>
    </mc:Choice>
  </mc:AlternateContent>
  <bookViews>
    <workbookView xWindow="0" yWindow="0" windowWidth="21600" windowHeight="9735"/>
  </bookViews>
  <sheets>
    <sheet name="doch_wyd" sheetId="4" r:id="rId1"/>
  </sheets>
  <definedNames>
    <definedName name="_xlnm.Print_Area" localSheetId="0">doch_wyd!$A$1:$L$93</definedName>
  </definedNames>
  <calcPr calcId="152511"/>
</workbook>
</file>

<file path=xl/calcChain.xml><?xml version="1.0" encoding="utf-8"?>
<calcChain xmlns="http://schemas.openxmlformats.org/spreadsheetml/2006/main">
  <c r="C93" i="4" l="1"/>
  <c r="C92" i="4"/>
  <c r="C91" i="4"/>
  <c r="C90" i="4"/>
  <c r="D88" i="4"/>
  <c r="C88" i="4"/>
  <c r="D87" i="4"/>
  <c r="C87" i="4"/>
  <c r="D86" i="4"/>
  <c r="C86" i="4"/>
  <c r="D85" i="4"/>
  <c r="C85" i="4"/>
  <c r="D84" i="4"/>
  <c r="C84" i="4"/>
  <c r="D83" i="4"/>
  <c r="C83" i="4"/>
  <c r="D82" i="4"/>
  <c r="C82" i="4"/>
  <c r="D81" i="4"/>
  <c r="C81" i="4"/>
  <c r="D76" i="4"/>
  <c r="C76" i="4"/>
  <c r="D75" i="4"/>
  <c r="C75" i="4"/>
  <c r="D74" i="4"/>
  <c r="C74" i="4"/>
  <c r="D73" i="4"/>
  <c r="C73" i="4"/>
  <c r="D72" i="4"/>
  <c r="C72" i="4"/>
  <c r="D71" i="4"/>
  <c r="C71" i="4"/>
  <c r="D70" i="4"/>
  <c r="C70" i="4"/>
  <c r="D69" i="4"/>
  <c r="C69" i="4"/>
  <c r="D68" i="4"/>
  <c r="C68" i="4"/>
  <c r="D67" i="4"/>
  <c r="C67" i="4"/>
  <c r="D66" i="4"/>
  <c r="C66" i="4"/>
  <c r="D65" i="4"/>
  <c r="C65" i="4"/>
  <c r="D64" i="4"/>
  <c r="C64" i="4"/>
  <c r="D63" i="4"/>
  <c r="C63" i="4"/>
  <c r="I55" i="4"/>
  <c r="H55" i="4"/>
  <c r="G55" i="4"/>
  <c r="F55" i="4"/>
  <c r="E55" i="4"/>
  <c r="D55" i="4"/>
  <c r="C55" i="4"/>
  <c r="I54" i="4"/>
  <c r="H54" i="4"/>
  <c r="G54" i="4"/>
  <c r="F54" i="4"/>
  <c r="E54" i="4"/>
  <c r="D54" i="4"/>
  <c r="C54" i="4"/>
  <c r="I53" i="4"/>
  <c r="H53" i="4"/>
  <c r="G53" i="4"/>
  <c r="F53" i="4"/>
  <c r="E53" i="4"/>
  <c r="D53" i="4"/>
  <c r="C53" i="4"/>
  <c r="I52" i="4"/>
  <c r="H52" i="4"/>
  <c r="G52" i="4"/>
  <c r="F52" i="4"/>
  <c r="E52" i="4"/>
  <c r="D52" i="4"/>
  <c r="C52" i="4"/>
  <c r="I51" i="4"/>
  <c r="H51" i="4"/>
  <c r="G51" i="4"/>
  <c r="F51" i="4"/>
  <c r="E51" i="4"/>
  <c r="D51" i="4"/>
  <c r="C51" i="4"/>
  <c r="I49" i="4"/>
  <c r="H49" i="4"/>
  <c r="G49" i="4"/>
  <c r="F49" i="4"/>
  <c r="E49" i="4"/>
  <c r="D49" i="4"/>
  <c r="C49" i="4"/>
  <c r="I48" i="4"/>
  <c r="H48" i="4"/>
  <c r="G48" i="4"/>
  <c r="F48" i="4"/>
  <c r="E48" i="4"/>
  <c r="D48" i="4"/>
  <c r="C48" i="4"/>
  <c r="I47" i="4"/>
  <c r="H47" i="4"/>
  <c r="G47" i="4"/>
  <c r="F47" i="4"/>
  <c r="E47" i="4"/>
  <c r="D47" i="4"/>
  <c r="C47" i="4"/>
  <c r="D37" i="4"/>
  <c r="C37" i="4"/>
  <c r="D34" i="4"/>
  <c r="C34" i="4"/>
  <c r="D33" i="4"/>
  <c r="C33" i="4"/>
  <c r="D32" i="4"/>
  <c r="C32" i="4"/>
  <c r="D31" i="4"/>
  <c r="C31" i="4"/>
  <c r="D30" i="4"/>
  <c r="C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1" i="4"/>
  <c r="C11" i="4"/>
  <c r="D10" i="4"/>
  <c r="C10" i="4"/>
  <c r="D9" i="4"/>
  <c r="C9" i="4"/>
  <c r="D8" i="4"/>
  <c r="C8" i="4"/>
  <c r="D6" i="4"/>
  <c r="C6" i="4"/>
  <c r="K6" i="4" s="1"/>
  <c r="C57" i="4"/>
  <c r="K9" i="4"/>
  <c r="K11" i="4"/>
  <c r="K16" i="4"/>
  <c r="K18" i="4"/>
  <c r="K20" i="4"/>
  <c r="K22" i="4"/>
  <c r="K24" i="4"/>
  <c r="K26" i="4"/>
  <c r="K28" i="4"/>
  <c r="K30" i="4"/>
  <c r="K32" i="4"/>
  <c r="K34" i="4"/>
  <c r="C50" i="4"/>
  <c r="K47" i="4"/>
  <c r="G50" i="4"/>
  <c r="G56" i="4" s="1"/>
  <c r="K52" i="4"/>
  <c r="K63" i="4"/>
  <c r="K65" i="4"/>
  <c r="K67" i="4"/>
  <c r="K69" i="4"/>
  <c r="K71" i="4"/>
  <c r="K73" i="4"/>
  <c r="K75" i="4"/>
  <c r="J30" i="4"/>
  <c r="J11" i="4"/>
  <c r="J17" i="4"/>
  <c r="J33" i="4"/>
  <c r="J10" i="4"/>
  <c r="J15" i="4"/>
  <c r="J29" i="4"/>
  <c r="D57" i="4"/>
  <c r="J34" i="4"/>
  <c r="J31" i="4"/>
  <c r="J22" i="4"/>
  <c r="J28" i="4"/>
  <c r="J25" i="4"/>
  <c r="J9" i="4"/>
  <c r="J24" i="4"/>
  <c r="J23" i="4"/>
  <c r="J20" i="4"/>
  <c r="J32" i="4"/>
  <c r="J19" i="4"/>
  <c r="J8" i="4"/>
  <c r="J37" i="4"/>
  <c r="J21" i="4"/>
  <c r="J18" i="4"/>
  <c r="J6" i="4"/>
  <c r="J27" i="4"/>
  <c r="J16" i="4"/>
  <c r="D36" i="4"/>
  <c r="J36" i="4" s="1"/>
  <c r="J26" i="4"/>
  <c r="J51" i="4"/>
  <c r="J54" i="4"/>
  <c r="J53" i="4"/>
  <c r="J52" i="4"/>
  <c r="J47" i="4"/>
  <c r="J49" i="4"/>
  <c r="J55" i="4"/>
  <c r="D50" i="4"/>
  <c r="J50" i="4" s="1"/>
  <c r="J48" i="4"/>
  <c r="H50" i="4"/>
  <c r="H56" i="4" s="1"/>
  <c r="K51" i="4"/>
  <c r="K55" i="4"/>
  <c r="J66" i="4"/>
  <c r="J70" i="4"/>
  <c r="J65" i="4"/>
  <c r="J67" i="4"/>
  <c r="J71" i="4"/>
  <c r="J69" i="4"/>
  <c r="J63" i="4"/>
  <c r="J64" i="4"/>
  <c r="J68" i="4"/>
  <c r="D90" i="4"/>
  <c r="B1" i="4" s="1"/>
  <c r="K8" i="4"/>
  <c r="K10" i="4"/>
  <c r="C14" i="4"/>
  <c r="C13" i="4" s="1"/>
  <c r="C7" i="4" s="1"/>
  <c r="K15" i="4"/>
  <c r="K17" i="4"/>
  <c r="K19" i="4"/>
  <c r="K21" i="4"/>
  <c r="K23" i="4"/>
  <c r="K25" i="4"/>
  <c r="K27" i="4"/>
  <c r="K29" i="4"/>
  <c r="K31" i="4"/>
  <c r="K33" i="4"/>
  <c r="K37" i="4"/>
  <c r="E50" i="4"/>
  <c r="E56" i="4" s="1"/>
  <c r="I50" i="4"/>
  <c r="I56" i="4"/>
  <c r="K49" i="4"/>
  <c r="K54" i="4"/>
  <c r="K64" i="4"/>
  <c r="K66" i="4"/>
  <c r="K68" i="4"/>
  <c r="K70" i="4"/>
  <c r="K72" i="4"/>
  <c r="K74" i="4"/>
  <c r="K76" i="4"/>
  <c r="D14" i="4"/>
  <c r="D13" i="4" s="1"/>
  <c r="F50" i="4"/>
  <c r="F56" i="4"/>
  <c r="K48" i="4"/>
  <c r="K53" i="4"/>
  <c r="J74" i="4"/>
  <c r="J76" i="4"/>
  <c r="J75" i="4"/>
  <c r="J72" i="4"/>
  <c r="J73" i="4"/>
  <c r="C56" i="4"/>
  <c r="D38" i="4" l="1"/>
  <c r="J38" i="4" s="1"/>
  <c r="D56" i="4"/>
  <c r="J56" i="4" s="1"/>
  <c r="B59" i="4"/>
  <c r="B40" i="4"/>
  <c r="K50" i="4"/>
  <c r="J13" i="4"/>
  <c r="D7" i="4"/>
  <c r="D12" i="4" s="1"/>
  <c r="J14" i="4"/>
  <c r="K14" i="4"/>
  <c r="K13" i="4"/>
  <c r="C12" i="4"/>
  <c r="C36" i="4"/>
  <c r="L9" i="4" l="1"/>
  <c r="K7" i="4"/>
  <c r="K56" i="4"/>
  <c r="L8" i="4"/>
  <c r="L12" i="4"/>
  <c r="J12" i="4"/>
  <c r="K12" i="4"/>
  <c r="L7" i="4"/>
  <c r="L10" i="4"/>
  <c r="L11" i="4"/>
  <c r="J7" i="4"/>
  <c r="K36" i="4"/>
  <c r="C38" i="4"/>
  <c r="K38" i="4" s="1"/>
</calcChain>
</file>

<file path=xl/sharedStrings.xml><?xml version="1.0" encoding="utf-8"?>
<sst xmlns="http://schemas.openxmlformats.org/spreadsheetml/2006/main" count="339" uniqueCount="90">
  <si>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</si>
  <si>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</si>
  <si>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</si>
  <si>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</si>
  <si>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</si>
  <si>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</si>
  <si>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</si>
  <si>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</si>
  <si>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</si>
  <si>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</si>
  <si>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</si>
  <si>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</si>
  <si>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</si>
  <si>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</si>
  <si>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</si>
  <si>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</si>
  <si>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</si>
  <si>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</si>
  <si>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</si>
  <si>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>dochody z majątku</t>
  </si>
  <si>
    <t xml:space="preserve">pozostałe dochody </t>
  </si>
  <si>
    <t>Struktura</t>
  </si>
  <si>
    <t>Wskaźnik</t>
  </si>
  <si>
    <t>inne cele</t>
  </si>
  <si>
    <t>w tym wymagalne:</t>
  </si>
  <si>
    <t>pozostałe wydatki</t>
  </si>
  <si>
    <t>wydatki na obsługę długu</t>
  </si>
  <si>
    <t>dotacje</t>
  </si>
  <si>
    <t>Razem dochody własne 
z tego:</t>
  </si>
  <si>
    <t>Dotacje celowe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</si>
  <si>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</si>
  <si>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</si>
  <si>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</si>
  <si>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</si>
  <si>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</si>
  <si>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</si>
  <si>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</si>
  <si>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</si>
  <si>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</si>
  <si>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t>w tym: inwestycyjne § 620</t>
  </si>
  <si>
    <t>Dotacje §§ 200 i 620</t>
  </si>
  <si>
    <t>tytul</t>
  </si>
  <si>
    <t>w złotych</t>
  </si>
  <si>
    <t>z tytułu pomocy finansowej udzielanej między jst na dofinansowanie własnych zadań</t>
  </si>
  <si>
    <t>inne źródła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</si>
  <si>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</si>
  <si>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</si>
  <si>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</si>
  <si>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</si>
  <si>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t>Dotacje §§ 205 i 625</t>
  </si>
  <si>
    <t>w tym: inwestycyjne § 625</t>
  </si>
  <si>
    <t>majątkowe</t>
  </si>
  <si>
    <t>bieżące</t>
  </si>
  <si>
    <r>
      <t xml:space="preserve">Plan 
(po zmianach)
</t>
    </r>
    <r>
      <rPr>
        <b/>
        <sz val="9"/>
        <rFont val="Arial"/>
        <family val="2"/>
        <charset val="238"/>
      </rPr>
      <t>R1</t>
    </r>
  </si>
  <si>
    <r>
      <t xml:space="preserve">Zaangażowanie
</t>
    </r>
    <r>
      <rPr>
        <b/>
        <sz val="9"/>
        <rFont val="Arial"/>
        <family val="2"/>
        <charset val="238"/>
      </rPr>
      <t>R10</t>
    </r>
  </si>
  <si>
    <r>
      <t xml:space="preserve">Wydatki
 wykonane
</t>
    </r>
    <r>
      <rPr>
        <b/>
        <sz val="9"/>
        <rFont val="Arial"/>
        <family val="2"/>
        <charset val="238"/>
      </rPr>
      <t>R4</t>
    </r>
  </si>
  <si>
    <r>
      <t xml:space="preserve">Wydatki, które nie wygasły 
z upływem roku budżetowego) 
(art.263 ust. 2 ustawy 
o finansach publicznych) 
</t>
    </r>
    <r>
      <rPr>
        <b/>
        <sz val="9"/>
        <rFont val="Arial"/>
        <family val="2"/>
        <charset val="238"/>
      </rPr>
      <t>R9</t>
    </r>
  </si>
  <si>
    <r>
      <t xml:space="preserve">ogółem
</t>
    </r>
    <r>
      <rPr>
        <b/>
        <sz val="9"/>
        <rFont val="Arial"/>
        <family val="2"/>
        <charset val="238"/>
      </rPr>
      <t>R11</t>
    </r>
  </si>
  <si>
    <r>
      <t xml:space="preserve">powstałe w latach ubiegłych
</t>
    </r>
    <r>
      <rPr>
        <b/>
        <sz val="9"/>
        <rFont val="Arial"/>
        <family val="2"/>
        <charset val="238"/>
      </rPr>
      <t>R12U</t>
    </r>
  </si>
  <si>
    <r>
      <t xml:space="preserve">powstałe w roku bieżącym
</t>
    </r>
    <r>
      <rPr>
        <b/>
        <sz val="9"/>
        <rFont val="Arial"/>
        <family val="2"/>
        <charset val="238"/>
      </rPr>
      <t>R12B</t>
    </r>
  </si>
  <si>
    <r>
      <t xml:space="preserve">Plan 
(po zmianach)
</t>
    </r>
    <r>
      <rPr>
        <b/>
        <sz val="9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</si>
  <si>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9"/>
        <color indexed="8"/>
        <rFont val="Arial"/>
        <family val="2"/>
        <charset val="238"/>
      </rPr>
      <t>R4</t>
    </r>
  </si>
  <si>
    <t>Dotacje ogółem                                  z tego:</t>
  </si>
  <si>
    <t>kredyty, pożyczki, emisja papierów wartościowych w tym:</t>
  </si>
  <si>
    <t>ze sprzedaży papierów wartościowych</t>
  </si>
  <si>
    <t>spłata  udzielonych pożyczek</t>
  </si>
  <si>
    <t>prywatyzacja majątku JST</t>
  </si>
  <si>
    <t>wolne środki, o których mowa w art. 217 ust. 2 pkt 6 ustawy o finansach publicznych</t>
  </si>
  <si>
    <t>spłaty kredytów i pożyczek, wykup papierów wartościowych w tym:</t>
  </si>
  <si>
    <t>wykup papierów wartościowych</t>
  </si>
  <si>
    <t>otrzymane ze środków z Funduszu Przeciwdziałania COVID-19 (m.in. z Rządowego Funduszu Inwestycji Lokalnych)</t>
  </si>
  <si>
    <t>Wpływy z wpłat gmin i powiatów na rzecz związków</t>
  </si>
  <si>
    <t>udziały w podatku dochodowym PIT (tylko w związkach metropolitalnych)</t>
  </si>
  <si>
    <t>na finansowanie lub dofinansowanie zadań inwestycyjnych obiektów zabytkowych oraz prac remontowych i konserwatorskich przy zabytkach</t>
  </si>
  <si>
    <t>w tym: inwestycyjne</t>
  </si>
  <si>
    <t>wynagrodzenia i składki od nich naliczane</t>
  </si>
  <si>
    <t>nadwyżka z lat ubiegłych, pomniejszona o niewykorzystane środki pieniężne, o których mowa w art. 217 ust. 2 pkt 8 ustawy o finansach publicznych</t>
  </si>
  <si>
    <t>udzielone pożyczki</t>
  </si>
  <si>
    <t>niewykorzystane środki pieniężne, o których mowa w art. 217 ust. 2 pkt 8 ustawy o finansach publicznych</t>
  </si>
  <si>
    <t>nadwyżka budżetu jednostki samorządu terytorialnego z lat ubiegłych, pomniejszona o środki określone w art. 217 ust. 2 pkt 8 ustawy o finansach publicznych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</si>
  <si>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</si>
  <si>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spłaty udzielonych pożyczek w latach ubiegłych</t>
  </si>
  <si>
    <t>#</t>
  </si>
  <si>
    <t>FINANSOWANIE DEFICYTU (E1+E2+E3+E4+E5+E6+E7) 
z tego:</t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</si>
  <si>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</si>
  <si>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</si>
  <si>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</si>
  <si>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</si>
  <si>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</si>
  <si>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Wpływy z innych lokalnych opłat pobieranych przez JST na podstawie odrębnych ustaw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</si>
</sst>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z_ł_-;\-* #,##0.00\ _z_ł_-;_-* &quot;-&quot;??\ _z_ł_-;_-@_-"/>
    <numFmt numFmtId="164" formatCode="#,##0.0"/>
    <numFmt numFmtId="165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 CE"/>
      <charset val="238"/>
    </font>
    <font>
      <b/>
      <sz val="9"/>
      <color indexed="8"/>
      <name val="Arial"/>
      <family val="2"/>
      <charset val="238"/>
    </font>
    <font>
      <sz val="14"/>
      <name val="Arial"/>
      <family val="2"/>
      <charset val="238"/>
    </font>
    <font>
      <sz val="9"/>
      <name val="Arial CE"/>
      <charset val="238"/>
    </font>
    <font>
      <b/>
      <sz val="9"/>
      <name val="Arial"/>
      <family val="2"/>
      <charset val="238"/>
    </font>
    <font>
      <sz val="14"/>
      <name val="Arial CE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3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1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2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3" borderId="0" applyNumberFormat="0" applyBorder="0" applyAlignment="0" applyProtection="0"/>
    <xf numFmtId="0" fontId="11" fillId="10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3" borderId="0" applyNumberFormat="0" applyBorder="0" applyAlignment="0" applyProtection="0"/>
    <xf numFmtId="0" fontId="12" fillId="10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6" borderId="0" applyNumberFormat="0" applyBorder="0" applyAlignment="0" applyProtection="0"/>
    <xf numFmtId="0" fontId="12" fillId="12" borderId="0" applyNumberFormat="0" applyBorder="0" applyAlignment="0" applyProtection="0"/>
    <xf numFmtId="0" fontId="12" fillId="14" borderId="0" applyNumberFormat="0" applyBorder="0" applyAlignment="0" applyProtection="0"/>
    <xf numFmtId="0" fontId="12" fillId="13" borderId="0" applyNumberFormat="0" applyBorder="0" applyAlignment="0" applyProtection="0"/>
    <xf numFmtId="0" fontId="12" fillId="15" borderId="0" applyNumberFormat="0" applyBorder="0" applyAlignment="0" applyProtection="0"/>
    <xf numFmtId="0" fontId="12" fillId="12" borderId="0" applyNumberFormat="0" applyBorder="0" applyAlignment="0" applyProtection="0"/>
    <xf numFmtId="0" fontId="12" fillId="16" borderId="0" applyNumberFormat="0" applyBorder="0" applyAlignment="0" applyProtection="0"/>
    <xf numFmtId="0" fontId="13" fillId="18" borderId="0" applyNumberFormat="0" applyBorder="0" applyAlignment="0" applyProtection="0"/>
    <xf numFmtId="0" fontId="14" fillId="7" borderId="1" applyNumberFormat="0" applyAlignment="0" applyProtection="0"/>
    <xf numFmtId="0" fontId="15" fillId="17" borderId="2" applyNumberFormat="0" applyAlignment="0" applyProtection="0"/>
    <xf numFmtId="43" fontId="28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8" borderId="0" applyNumberFormat="0" applyBorder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0" fillId="0" borderId="0" applyNumberFormat="0" applyFill="0" applyBorder="0" applyAlignment="0" applyProtection="0"/>
    <xf numFmtId="0" fontId="21" fillId="6" borderId="1" applyNumberFormat="0" applyAlignment="0" applyProtection="0"/>
    <xf numFmtId="0" fontId="22" fillId="0" borderId="7" applyNumberFormat="0" applyFill="0" applyAlignment="0" applyProtection="0"/>
    <xf numFmtId="0" fontId="23" fillId="10" borderId="0" applyNumberFormat="0" applyBorder="0" applyAlignment="0" applyProtection="0"/>
    <xf numFmtId="0" fontId="34" fillId="0" borderId="0"/>
    <xf numFmtId="0" fontId="1" fillId="4" borderId="8" applyNumberFormat="0" applyFont="0" applyAlignment="0" applyProtection="0"/>
    <xf numFmtId="0" fontId="24" fillId="7" borderId="3" applyNumberFormat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</cellStyleXfs>
  <cellXfs count="156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horizontal="left" vertical="center"/>
    </xf>
    <xf numFmtId="164" fontId="2" fillId="0" borderId="0" xfId="0" applyNumberFormat="1" applyFont="1" applyFill="1"/>
    <xf numFmtId="0" fontId="7" fillId="0" borderId="0" xfId="0" applyFont="1" applyFill="1" applyAlignment="1">
      <alignment vertical="center"/>
    </xf>
    <xf numFmtId="0" fontId="2" fillId="0" borderId="0" xfId="0" applyFont="1" applyFill="1"/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19" borderId="1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5" fillId="19" borderId="10" xfId="0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right" vertical="center"/>
    </xf>
    <xf numFmtId="4" fontId="10" fillId="20" borderId="10" xfId="0" applyNumberFormat="1" applyFont="1" applyFill="1" applyBorder="1" applyAlignment="1">
      <alignment horizontal="right" vertical="center"/>
    </xf>
    <xf numFmtId="4" fontId="10" fillId="20" borderId="10" xfId="0" applyNumberFormat="1" applyFont="1" applyFill="1" applyBorder="1" applyAlignment="1">
      <alignment horizontal="right" vertical="center" wrapText="1"/>
    </xf>
    <xf numFmtId="164" fontId="5" fillId="0" borderId="0" xfId="0" applyNumberFormat="1" applyFont="1" applyAlignment="1">
      <alignment horizontal="right" vertical="center"/>
    </xf>
    <xf numFmtId="0" fontId="3" fillId="0" borderId="10" xfId="0" applyFont="1" applyBorder="1" applyAlignment="1">
      <alignment horizontal="left" vertical="center" wrapText="1" indent="2"/>
    </xf>
    <xf numFmtId="164" fontId="10" fillId="20" borderId="10" xfId="0" applyNumberFormat="1" applyFont="1" applyFill="1" applyBorder="1" applyAlignment="1">
      <alignment horizontal="right" vertical="center"/>
    </xf>
    <xf numFmtId="164" fontId="3" fillId="0" borderId="10" xfId="0" applyNumberFormat="1" applyFont="1" applyFill="1" applyBorder="1" applyAlignment="1">
      <alignment horizontal="right" vertical="center"/>
    </xf>
    <xf numFmtId="164" fontId="9" fillId="20" borderId="10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19" borderId="10" xfId="0" applyNumberFormat="1" applyFont="1" applyFill="1" applyBorder="1" applyAlignment="1">
      <alignment horizontal="center" vertical="center" wrapText="1"/>
    </xf>
    <xf numFmtId="0" fontId="5" fillId="19" borderId="10" xfId="0" applyFont="1" applyFill="1" applyBorder="1" applyAlignment="1">
      <alignment horizontal="center"/>
    </xf>
    <xf numFmtId="164" fontId="9" fillId="20" borderId="10" xfId="28" applyNumberFormat="1" applyFont="1" applyFill="1" applyBorder="1" applyAlignment="1">
      <alignment horizontal="right" vertical="center"/>
    </xf>
    <xf numFmtId="0" fontId="5" fillId="19" borderId="11" xfId="0" applyFont="1" applyFill="1" applyBorder="1" applyAlignment="1">
      <alignment horizontal="center"/>
    </xf>
    <xf numFmtId="4" fontId="9" fillId="20" borderId="11" xfId="0" applyNumberFormat="1" applyFont="1" applyFill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5" fillId="20" borderId="11" xfId="0" applyNumberFormat="1" applyFont="1" applyFill="1" applyBorder="1" applyAlignment="1">
      <alignment horizontal="right" vertical="center"/>
    </xf>
    <xf numFmtId="4" fontId="5" fillId="21" borderId="11" xfId="0" applyNumberFormat="1" applyFont="1" applyFill="1" applyBorder="1" applyAlignment="1">
      <alignment horizontal="right" vertical="center"/>
    </xf>
    <xf numFmtId="4" fontId="9" fillId="22" borderId="11" xfId="0" applyNumberFormat="1" applyFont="1" applyFill="1" applyBorder="1" applyAlignment="1">
      <alignment horizontal="right" vertical="center"/>
    </xf>
    <xf numFmtId="164" fontId="9" fillId="21" borderId="10" xfId="28" applyNumberFormat="1" applyFont="1" applyFill="1" applyBorder="1" applyAlignment="1">
      <alignment horizontal="right" vertical="center"/>
    </xf>
    <xf numFmtId="164" fontId="9" fillId="21" borderId="10" xfId="0" applyNumberFormat="1" applyFont="1" applyFill="1" applyBorder="1" applyAlignment="1">
      <alignment horizontal="right" vertical="center"/>
    </xf>
    <xf numFmtId="164" fontId="9" fillId="22" borderId="10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left" vertical="center" wrapText="1" indent="2"/>
    </xf>
    <xf numFmtId="4" fontId="3" fillId="0" borderId="0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19" borderId="10" xfId="0" applyFont="1" applyFill="1" applyBorder="1" applyAlignment="1">
      <alignment horizontal="center" vertical="center" wrapText="1"/>
    </xf>
    <xf numFmtId="0" fontId="4" fillId="19" borderId="10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9" fillId="19" borderId="1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2" fillId="19" borderId="10" xfId="0" applyFont="1" applyFill="1" applyBorder="1" applyAlignment="1">
      <alignment horizontal="center" vertical="center" wrapText="1"/>
    </xf>
    <xf numFmtId="0" fontId="7" fillId="19" borderId="10" xfId="0" applyNumberFormat="1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/>
    </xf>
    <xf numFmtId="0" fontId="7" fillId="0" borderId="10" xfId="0" applyFont="1" applyBorder="1"/>
    <xf numFmtId="0" fontId="30" fillId="0" borderId="0" xfId="0" applyFont="1" applyAlignment="1">
      <alignment horizontal="center" vertical="center" wrapText="1"/>
    </xf>
    <xf numFmtId="4" fontId="10" fillId="22" borderId="10" xfId="0" applyNumberFormat="1" applyFont="1" applyFill="1" applyBorder="1" applyAlignment="1">
      <alignment horizontal="right" vertical="center"/>
    </xf>
    <xf numFmtId="164" fontId="10" fillId="22" borderId="10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/>
    </xf>
    <xf numFmtId="4" fontId="5" fillId="0" borderId="10" xfId="0" applyNumberFormat="1" applyFont="1" applyFill="1" applyBorder="1" applyAlignment="1">
      <alignment horizontal="right" vertical="center"/>
    </xf>
    <xf numFmtId="164" fontId="3" fillId="0" borderId="0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>
      <alignment horizontal="left" vertical="center" wrapText="1" indent="2"/>
    </xf>
    <xf numFmtId="164" fontId="3" fillId="22" borderId="10" xfId="0" applyNumberFormat="1" applyFont="1" applyFill="1" applyBorder="1" applyAlignment="1">
      <alignment horizontal="right" vertical="center"/>
    </xf>
    <xf numFmtId="4" fontId="9" fillId="22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right" vertical="center" wrapText="1"/>
    </xf>
    <xf numFmtId="164" fontId="9" fillId="0" borderId="10" xfId="0" applyNumberFormat="1" applyFont="1" applyFill="1" applyBorder="1" applyAlignment="1">
      <alignment horizontal="right" vertical="center"/>
    </xf>
    <xf numFmtId="4" fontId="3" fillId="0" borderId="10" xfId="0" applyNumberFormat="1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/>
    </xf>
    <xf numFmtId="0" fontId="5" fillId="0" borderId="10" xfId="0" applyFont="1" applyFill="1" applyBorder="1" applyAlignment="1">
      <alignment horizontal="left" vertical="center" wrapText="1" indent="1"/>
    </xf>
    <xf numFmtId="4" fontId="5" fillId="0" borderId="11" xfId="0" applyNumberFormat="1" applyFont="1" applyFill="1" applyBorder="1" applyAlignment="1">
      <alignment horizontal="right" vertical="center"/>
    </xf>
    <xf numFmtId="164" fontId="9" fillId="0" borderId="10" xfId="28" applyNumberFormat="1" applyFont="1" applyFill="1" applyBorder="1" applyAlignment="1">
      <alignment horizontal="right" vertical="center"/>
    </xf>
    <xf numFmtId="164" fontId="3" fillId="21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right" vertical="center" wrapText="1"/>
    </xf>
    <xf numFmtId="4" fontId="9" fillId="22" borderId="10" xfId="0" applyNumberFormat="1" applyFont="1" applyFill="1" applyBorder="1" applyAlignment="1">
      <alignment horizontal="right" vertical="center"/>
    </xf>
    <xf numFmtId="0" fontId="7" fillId="19" borderId="11" xfId="0" applyFont="1" applyFill="1" applyBorder="1" applyAlignment="1">
      <alignment horizontal="center" vertical="center"/>
    </xf>
    <xf numFmtId="0" fontId="5" fillId="19" borderId="11" xfId="0" applyFont="1" applyFill="1" applyBorder="1" applyAlignment="1">
      <alignment horizontal="center" vertical="center"/>
    </xf>
    <xf numFmtId="4" fontId="3" fillId="0" borderId="15" xfId="0" applyNumberFormat="1" applyFont="1" applyFill="1" applyBorder="1" applyAlignment="1">
      <alignment horizontal="right" vertical="center"/>
    </xf>
    <xf numFmtId="4" fontId="10" fillId="0" borderId="16" xfId="0" applyNumberFormat="1" applyFont="1" applyFill="1" applyBorder="1" applyAlignment="1">
      <alignment horizontal="right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4" fontId="9" fillId="0" borderId="0" xfId="0" applyNumberFormat="1" applyFont="1" applyFill="1" applyBorder="1" applyAlignment="1">
      <alignment horizontal="right" vertical="center"/>
    </xf>
    <xf numFmtId="4" fontId="3" fillId="0" borderId="0" xfId="0" applyNumberFormat="1" applyFont="1" applyFill="1" applyBorder="1" applyAlignment="1">
      <alignment horizontal="right" vertical="center"/>
    </xf>
    <xf numFmtId="4" fontId="10" fillId="0" borderId="0" xfId="0" applyNumberFormat="1" applyFont="1" applyFill="1" applyBorder="1" applyAlignment="1">
      <alignment horizontal="right" vertical="center"/>
    </xf>
    <xf numFmtId="4" fontId="9" fillId="22" borderId="10" xfId="0" applyNumberFormat="1" applyFont="1" applyFill="1" applyBorder="1" applyAlignment="1">
      <alignment vertical="center"/>
    </xf>
    <xf numFmtId="4" fontId="10" fillId="22" borderId="10" xfId="0" applyNumberFormat="1" applyFont="1" applyFill="1" applyBorder="1" applyAlignment="1">
      <alignment vertical="center" wrapText="1"/>
    </xf>
    <xf numFmtId="4" fontId="3" fillId="0" borderId="10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 wrapText="1"/>
    </xf>
    <xf numFmtId="4" fontId="3" fillId="0" borderId="11" xfId="0" applyNumberFormat="1" applyFont="1" applyFill="1" applyBorder="1" applyAlignment="1">
      <alignment vertical="center" wrapText="1"/>
    </xf>
    <xf numFmtId="4" fontId="3" fillId="0" borderId="16" xfId="0" applyNumberFormat="1" applyFont="1" applyFill="1" applyBorder="1" applyAlignment="1">
      <alignment vertical="center" wrapText="1"/>
    </xf>
    <xf numFmtId="0" fontId="7" fillId="19" borderId="10" xfId="0" applyFont="1" applyFill="1" applyBorder="1" applyAlignment="1">
      <alignment vertical="center"/>
    </xf>
    <xf numFmtId="4" fontId="5" fillId="21" borderId="10" xfId="0" applyNumberFormat="1" applyFont="1" applyFill="1" applyBorder="1" applyAlignment="1">
      <alignment horizontal="right" vertical="center"/>
    </xf>
    <xf numFmtId="4" fontId="5" fillId="20" borderId="10" xfId="0" applyNumberFormat="1" applyFont="1" applyFill="1" applyBorder="1" applyAlignment="1">
      <alignment horizontal="right" vertical="center"/>
    </xf>
    <xf numFmtId="4" fontId="10" fillId="22" borderId="10" xfId="0" applyNumberFormat="1" applyFont="1" applyFill="1" applyBorder="1" applyAlignment="1">
      <alignment horizontal="center" vertical="center"/>
    </xf>
    <xf numFmtId="4" fontId="10" fillId="0" borderId="10" xfId="0" applyNumberFormat="1" applyFont="1" applyFill="1" applyBorder="1" applyAlignment="1">
      <alignment horizontal="center" vertical="center"/>
    </xf>
    <xf numFmtId="4" fontId="3" fillId="22" borderId="10" xfId="0" applyNumberFormat="1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22" borderId="10" xfId="0" applyFont="1" applyFill="1" applyBorder="1" applyAlignment="1">
      <alignment vertical="center" wrapText="1"/>
    </xf>
    <xf numFmtId="0" fontId="6" fillId="22" borderId="10" xfId="0" applyFont="1" applyFill="1" applyBorder="1" applyAlignment="1">
      <alignment horizontal="left" vertical="center" wrapText="1"/>
    </xf>
    <xf numFmtId="0" fontId="6" fillId="20" borderId="10" xfId="0" applyFont="1" applyFill="1" applyBorder="1" applyAlignment="1">
      <alignment horizontal="left" vertical="center" wrapText="1" indent="1"/>
    </xf>
    <xf numFmtId="0" fontId="6" fillId="22" borderId="10" xfId="0" applyFont="1" applyFill="1" applyBorder="1" applyAlignment="1">
      <alignment horizontal="left" vertical="center" wrapText="1" indent="1"/>
    </xf>
    <xf numFmtId="0" fontId="3" fillId="0" borderId="10" xfId="0" applyFont="1" applyFill="1" applyBorder="1" applyAlignment="1">
      <alignment horizontal="left" vertical="center" wrapText="1" indent="3"/>
    </xf>
    <xf numFmtId="0" fontId="6" fillId="22" borderId="10" xfId="0" applyFont="1" applyFill="1" applyBorder="1" applyAlignment="1">
      <alignment horizontal="left" vertical="center" wrapText="1" indent="2"/>
    </xf>
    <xf numFmtId="0" fontId="3" fillId="0" borderId="10" xfId="0" applyFont="1" applyFill="1" applyBorder="1" applyAlignment="1">
      <alignment horizontal="left" vertical="center" wrapText="1" indent="4"/>
    </xf>
    <xf numFmtId="0" fontId="3" fillId="0" borderId="10" xfId="0" applyFont="1" applyFill="1" applyBorder="1" applyAlignment="1">
      <alignment horizontal="left" vertical="top" wrapText="1" indent="3"/>
    </xf>
    <xf numFmtId="0" fontId="3" fillId="21" borderId="10" xfId="0" applyFont="1" applyFill="1" applyBorder="1" applyAlignment="1">
      <alignment horizontal="left" vertical="center" wrapText="1" indent="3"/>
    </xf>
    <xf numFmtId="0" fontId="3" fillId="0" borderId="10" xfId="0" applyFont="1" applyBorder="1" applyAlignment="1">
      <alignment horizontal="left" vertical="center" wrapText="1" indent="3"/>
    </xf>
    <xf numFmtId="165" fontId="7" fillId="0" borderId="14" xfId="0" applyNumberFormat="1" applyFont="1" applyBorder="1"/>
    <xf numFmtId="4" fontId="9" fillId="20" borderId="11" xfId="0" applyNumberFormat="1" applyFont="1" applyFill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vertical="center"/>
    </xf>
    <xf numFmtId="4" fontId="9" fillId="22" borderId="11" xfId="0" applyNumberFormat="1" applyFont="1" applyFill="1" applyBorder="1" applyAlignment="1">
      <alignment horizontal="center" vertical="center"/>
    </xf>
    <xf numFmtId="4" fontId="5" fillId="21" borderId="11" xfId="0" applyNumberFormat="1" applyFont="1" applyFill="1" applyBorder="1" applyAlignment="1">
      <alignment horizontal="center" vertical="center"/>
    </xf>
    <xf numFmtId="0" fontId="8" fillId="20" borderId="10" xfId="0" applyFont="1" applyFill="1" applyBorder="1" applyAlignment="1">
      <alignment vertical="center" wrapText="1"/>
    </xf>
    <xf numFmtId="0" fontId="35" fillId="22" borderId="10" xfId="38" applyFont="1" applyFill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2"/>
    </xf>
    <xf numFmtId="0" fontId="35" fillId="0" borderId="10" xfId="38" applyFont="1" applyBorder="1" applyAlignment="1">
      <alignment horizontal="left" vertical="center" wrapText="1" indent="1"/>
    </xf>
    <xf numFmtId="0" fontId="33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29" fillId="19" borderId="10" xfId="0" applyFont="1" applyFill="1" applyBorder="1" applyAlignment="1">
      <alignment horizontal="center" vertical="center"/>
    </xf>
    <xf numFmtId="0" fontId="7" fillId="19" borderId="11" xfId="0" applyFont="1" applyFill="1" applyBorder="1" applyAlignment="1">
      <alignment horizontal="center" vertical="center" wrapText="1"/>
    </xf>
    <xf numFmtId="0" fontId="7" fillId="19" borderId="10" xfId="0" applyFont="1" applyFill="1" applyBorder="1" applyAlignment="1">
      <alignment horizontal="center" vertical="center"/>
    </xf>
    <xf numFmtId="0" fontId="7" fillId="19" borderId="13" xfId="0" applyFont="1" applyFill="1" applyBorder="1" applyAlignment="1">
      <alignment horizontal="center" vertical="center" wrapText="1"/>
    </xf>
    <xf numFmtId="0" fontId="5" fillId="19" borderId="11" xfId="0" applyFont="1" applyFill="1" applyBorder="1" applyAlignment="1">
      <alignment horizontal="center" vertical="center" wrapText="1"/>
    </xf>
    <xf numFmtId="0" fontId="5" fillId="19" borderId="13" xfId="0" applyFont="1" applyFill="1" applyBorder="1" applyAlignment="1">
      <alignment horizontal="center" vertical="center" wrapText="1"/>
    </xf>
    <xf numFmtId="0" fontId="4" fillId="19" borderId="11" xfId="0" applyFont="1" applyFill="1" applyBorder="1" applyAlignment="1">
      <alignment horizontal="center" vertical="center"/>
    </xf>
    <xf numFmtId="0" fontId="4" fillId="19" borderId="18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  <xf numFmtId="0" fontId="4" fillId="19" borderId="17" xfId="0" applyFont="1" applyFill="1" applyBorder="1" applyAlignment="1">
      <alignment horizontal="center" vertical="center"/>
    </xf>
    <xf numFmtId="0" fontId="4" fillId="19" borderId="19" xfId="0" applyFont="1" applyFill="1" applyBorder="1" applyAlignment="1">
      <alignment horizontal="center" vertical="center"/>
    </xf>
    <xf numFmtId="0" fontId="4" fillId="19" borderId="20" xfId="0" applyFont="1" applyFill="1" applyBorder="1" applyAlignment="1">
      <alignment horizontal="center" vertical="center"/>
    </xf>
    <xf numFmtId="0" fontId="4" fillId="19" borderId="21" xfId="0" applyFont="1" applyFill="1" applyBorder="1" applyAlignment="1">
      <alignment horizontal="center" vertical="center"/>
    </xf>
    <xf numFmtId="0" fontId="4" fillId="19" borderId="12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 wrapText="1"/>
    </xf>
    <xf numFmtId="4" fontId="10" fillId="0" borderId="17" xfId="0" applyNumberFormat="1" applyFont="1" applyFill="1" applyBorder="1" applyAlignment="1">
      <alignment horizontal="right" vertical="center" wrapText="1"/>
    </xf>
    <xf numFmtId="0" fontId="7" fillId="19" borderId="13" xfId="0" applyFont="1" applyFill="1" applyBorder="1" applyAlignment="1">
      <alignment horizontal="center" vertical="center"/>
    </xf>
    <xf numFmtId="165" fontId="7" fillId="0" borderId="11" xfId="0" applyNumberFormat="1" applyFont="1" applyBorder="1" applyAlignment="1">
      <alignment horizontal="center" vertical="center"/>
    </xf>
    <xf numFmtId="165" fontId="7" fillId="0" borderId="13" xfId="0" applyNumberFormat="1" applyFont="1" applyBorder="1" applyAlignment="1">
      <alignment horizontal="center" vertical="center"/>
    </xf>
    <xf numFmtId="0" fontId="7" fillId="19" borderId="16" xfId="0" applyFont="1" applyFill="1" applyBorder="1" applyAlignment="1">
      <alignment horizontal="center" vertical="center"/>
    </xf>
    <xf numFmtId="0" fontId="7" fillId="19" borderId="17" xfId="0" applyFont="1" applyFill="1" applyBorder="1" applyAlignment="1">
      <alignment horizontal="center" vertical="center"/>
    </xf>
    <xf numFmtId="0" fontId="7" fillId="19" borderId="19" xfId="0" applyFont="1" applyFill="1" applyBorder="1" applyAlignment="1">
      <alignment horizontal="center" vertical="center"/>
    </xf>
    <xf numFmtId="0" fontId="7" fillId="19" borderId="22" xfId="0" applyFont="1" applyFill="1" applyBorder="1" applyAlignment="1">
      <alignment horizontal="center" vertical="center"/>
    </xf>
    <xf numFmtId="0" fontId="7" fillId="19" borderId="0" xfId="0" applyFont="1" applyFill="1" applyBorder="1" applyAlignment="1">
      <alignment horizontal="center" vertical="center"/>
    </xf>
    <xf numFmtId="0" fontId="7" fillId="19" borderId="23" xfId="0" applyFont="1" applyFill="1" applyBorder="1" applyAlignment="1">
      <alignment horizontal="center" vertical="center"/>
    </xf>
    <xf numFmtId="0" fontId="7" fillId="19" borderId="20" xfId="0" applyFont="1" applyFill="1" applyBorder="1" applyAlignment="1">
      <alignment horizontal="center" vertical="center"/>
    </xf>
    <xf numFmtId="0" fontId="7" fillId="19" borderId="21" xfId="0" applyFont="1" applyFill="1" applyBorder="1" applyAlignment="1">
      <alignment horizontal="center" vertical="center"/>
    </xf>
    <xf numFmtId="0" fontId="7" fillId="19" borderId="12" xfId="0" applyFont="1" applyFill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7" fillId="19" borderId="15" xfId="0" applyFont="1" applyFill="1" applyBorder="1" applyAlignment="1">
      <alignment horizontal="center" vertical="center" wrapText="1"/>
    </xf>
    <xf numFmtId="0" fontId="7" fillId="19" borderId="24" xfId="0" applyFont="1" applyFill="1" applyBorder="1" applyAlignment="1">
      <alignment horizontal="center" vertical="center" wrapText="1"/>
    </xf>
    <xf numFmtId="0" fontId="7" fillId="19" borderId="14" xfId="0" applyFont="1" applyFill="1" applyBorder="1" applyAlignment="1">
      <alignment horizontal="center" vertical="center" wrapText="1"/>
    </xf>
    <xf numFmtId="0" fontId="7" fillId="19" borderId="11" xfId="0" applyFont="1" applyFill="1" applyBorder="1" applyAlignment="1">
      <alignment horizontal="center" vertical="top" wrapText="1"/>
    </xf>
    <xf numFmtId="0" fontId="31" fillId="0" borderId="13" xfId="0" applyFont="1" applyBorder="1" applyAlignment="1">
      <alignment horizontal="center" vertical="top" wrapText="1"/>
    </xf>
  </cellXfs>
  <cellStyles count="4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Dziesiętny 2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ny" xfId="0" builtinId="0"/>
    <cellStyle name="Normalny 2" xfId="38"/>
    <cellStyle name="Note" xfId="39"/>
    <cellStyle name="Output" xfId="40"/>
    <cellStyle name="Title" xfId="41"/>
    <cellStyle name="Total" xfId="42"/>
    <cellStyle name="Warning Text" xfId="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outlinePr summaryBelow="0"/>
  </sheetPr>
  <dimension ref="A1:Z93"/>
  <sheetViews>
    <sheetView tabSelected="1" topLeftCell="B1" zoomScaleNormal="100" workbookViewId="0">
      <selection activeCell="B3" sqref="B3:B4"/>
    </sheetView>
  </sheetViews>
  <sheetFormatPr defaultRowHeight="12.75" outlineLevelRow="1" outlineLevelCol="1" x14ac:dyDescent="0.2"/>
  <cols>
    <col min="1" max="1" width="5.7109375" style="1" hidden="1" customWidth="1"/>
    <col min="2" max="2" width="30.7109375" style="1" customWidth="1"/>
    <col min="3" max="4" width="15.7109375" style="1" customWidth="1"/>
    <col min="5" max="9" width="15.7109375" style="1" customWidth="1" outlineLevel="1"/>
    <col min="10" max="10" width="13" style="1" customWidth="1"/>
    <col min="11" max="11" width="9.7109375" style="1" customWidth="1"/>
    <col min="12" max="12" width="10.140625" style="1" customWidth="1"/>
    <col min="13" max="13" width="8.140625" style="1" customWidth="1"/>
    <col min="14" max="16384" width="9.140625" style="1"/>
  </cols>
  <sheetData>
    <row r="1" spans="2:12" ht="18" customHeight="1" x14ac:dyDescent="0.2">
      <c r="B1" s="115" t="str">
        <f>CONCATENATE("Informacja z wykonania budżetów związków jednostek samorządu terytorialnego za ",$D$90," ",$C$91," rok                 ",$C$93,"")</f>
        <v xml:space="preserve">Informacja z wykonania budżetów związków jednostek samorządu terytorialnego za II Kwartały 2022 rok                 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2:12" ht="13.5" customHeight="1" x14ac:dyDescent="0.2"/>
    <row r="3" spans="2:12" ht="66.75" customHeight="1" x14ac:dyDescent="0.2">
      <c r="B3" s="120" t="s">
        <v>0</v>
      </c>
      <c r="C3" s="40" t="s">
        <v>60</v>
      </c>
      <c r="D3" s="40" t="s">
        <v>61</v>
      </c>
      <c r="E3" s="11" t="s">
        <v>84</v>
      </c>
      <c r="F3" s="11" t="s">
        <v>85</v>
      </c>
      <c r="G3" s="11" t="s">
        <v>86</v>
      </c>
      <c r="H3" s="11" t="s">
        <v>87</v>
      </c>
      <c r="I3" s="11" t="s">
        <v>88</v>
      </c>
      <c r="J3" s="42" t="s">
        <v>2</v>
      </c>
      <c r="K3" s="40" t="s">
        <v>18</v>
      </c>
      <c r="L3" s="40" t="s">
        <v>3</v>
      </c>
    </row>
    <row r="4" spans="2:12" x14ac:dyDescent="0.2">
      <c r="B4" s="120"/>
      <c r="C4" s="126" t="s">
        <v>42</v>
      </c>
      <c r="D4" s="128"/>
      <c r="E4" s="129" t="s">
        <v>82</v>
      </c>
      <c r="F4" s="130"/>
      <c r="G4" s="130"/>
      <c r="H4" s="130"/>
      <c r="I4" s="131"/>
      <c r="J4" s="126" t="s">
        <v>4</v>
      </c>
      <c r="K4" s="127"/>
      <c r="L4" s="128"/>
    </row>
    <row r="5" spans="2:12" x14ac:dyDescent="0.2">
      <c r="B5" s="42">
        <v>1</v>
      </c>
      <c r="C5" s="41">
        <v>2</v>
      </c>
      <c r="D5" s="41">
        <v>3</v>
      </c>
      <c r="E5" s="132"/>
      <c r="F5" s="133"/>
      <c r="G5" s="133"/>
      <c r="H5" s="133"/>
      <c r="I5" s="134"/>
      <c r="J5" s="41">
        <v>4</v>
      </c>
      <c r="K5" s="41">
        <v>5</v>
      </c>
      <c r="L5" s="41">
        <v>6</v>
      </c>
    </row>
    <row r="6" spans="2:12" ht="14.1" customHeight="1" x14ac:dyDescent="0.2">
      <c r="B6" s="94" t="s">
        <v>5</v>
      </c>
      <c r="C6" s="53">
        <f>3606730092</f>
        <v>3606730092</v>
      </c>
      <c r="D6" s="53">
        <f>1506838208.59</f>
        <v>1506838208.5899999</v>
      </c>
      <c r="E6" s="88" t="s">
        <v>82</v>
      </c>
      <c r="F6" s="88" t="s">
        <v>82</v>
      </c>
      <c r="G6" s="88" t="s">
        <v>82</v>
      </c>
      <c r="H6" s="88" t="s">
        <v>82</v>
      </c>
      <c r="I6" s="88" t="s">
        <v>82</v>
      </c>
      <c r="J6" s="54">
        <f t="shared" ref="J6:J38" si="0">IF($D$6=0,"",100*$D6/$D$6)</f>
        <v>100</v>
      </c>
      <c r="K6" s="54">
        <f t="shared" ref="K6:K38" si="1">IF(C6=0,"",100*D6/C6)</f>
        <v>41.778513228153145</v>
      </c>
      <c r="L6" s="54"/>
    </row>
    <row r="7" spans="2:12" ht="27" customHeight="1" x14ac:dyDescent="0.2">
      <c r="B7" s="96" t="s">
        <v>28</v>
      </c>
      <c r="C7" s="15">
        <f>C6-C13</f>
        <v>3182487262.8499999</v>
      </c>
      <c r="D7" s="15">
        <f>D6-D13</f>
        <v>1432263633.5999999</v>
      </c>
      <c r="E7" s="88" t="s">
        <v>82</v>
      </c>
      <c r="F7" s="88" t="s">
        <v>82</v>
      </c>
      <c r="G7" s="88" t="s">
        <v>82</v>
      </c>
      <c r="H7" s="88" t="s">
        <v>82</v>
      </c>
      <c r="I7" s="88" t="s">
        <v>82</v>
      </c>
      <c r="J7" s="19">
        <f t="shared" si="0"/>
        <v>95.050923545416211</v>
      </c>
      <c r="K7" s="19">
        <f t="shared" si="1"/>
        <v>45.004536241800096</v>
      </c>
      <c r="L7" s="19">
        <f t="shared" ref="L7:L12" si="2">IF($D$7=0,"",100*$D7/$D$7)</f>
        <v>100</v>
      </c>
    </row>
    <row r="8" spans="2:12" ht="22.5" outlineLevel="1" x14ac:dyDescent="0.2">
      <c r="B8" s="18" t="s">
        <v>72</v>
      </c>
      <c r="C8" s="55">
        <f>346893600</f>
        <v>346893600</v>
      </c>
      <c r="D8" s="56">
        <f>173446800</f>
        <v>173446800</v>
      </c>
      <c r="E8" s="89" t="s">
        <v>82</v>
      </c>
      <c r="F8" s="89" t="s">
        <v>82</v>
      </c>
      <c r="G8" s="89" t="s">
        <v>82</v>
      </c>
      <c r="H8" s="89" t="s">
        <v>82</v>
      </c>
      <c r="I8" s="89" t="s">
        <v>82</v>
      </c>
      <c r="J8" s="20">
        <f t="shared" si="0"/>
        <v>11.510645204723081</v>
      </c>
      <c r="K8" s="20">
        <f t="shared" si="1"/>
        <v>50</v>
      </c>
      <c r="L8" s="20">
        <f t="shared" si="2"/>
        <v>12.109977236805268</v>
      </c>
    </row>
    <row r="9" spans="2:12" ht="22.5" outlineLevel="1" x14ac:dyDescent="0.2">
      <c r="B9" s="58" t="s">
        <v>71</v>
      </c>
      <c r="C9" s="55">
        <f>927710862.96</f>
        <v>927710862.96000004</v>
      </c>
      <c r="D9" s="56">
        <f>415565619.78</f>
        <v>415565619.77999997</v>
      </c>
      <c r="E9" s="89" t="s">
        <v>82</v>
      </c>
      <c r="F9" s="89" t="s">
        <v>82</v>
      </c>
      <c r="G9" s="89" t="s">
        <v>82</v>
      </c>
      <c r="H9" s="89" t="s">
        <v>82</v>
      </c>
      <c r="I9" s="89" t="s">
        <v>82</v>
      </c>
      <c r="J9" s="20">
        <f t="shared" si="0"/>
        <v>27.578648949236491</v>
      </c>
      <c r="K9" s="20">
        <f t="shared" si="1"/>
        <v>44.794734692884361</v>
      </c>
      <c r="L9" s="20">
        <f t="shared" si="2"/>
        <v>29.014603878161335</v>
      </c>
    </row>
    <row r="10" spans="2:12" ht="33.75" outlineLevel="1" x14ac:dyDescent="0.2">
      <c r="B10" s="58" t="s">
        <v>89</v>
      </c>
      <c r="C10" s="55">
        <f>806058851.82</f>
        <v>806058851.82000005</v>
      </c>
      <c r="D10" s="56">
        <f>410657504.85</f>
        <v>410657504.85000002</v>
      </c>
      <c r="E10" s="89" t="s">
        <v>82</v>
      </c>
      <c r="F10" s="89" t="s">
        <v>82</v>
      </c>
      <c r="G10" s="89" t="s">
        <v>82</v>
      </c>
      <c r="H10" s="89" t="s">
        <v>82</v>
      </c>
      <c r="I10" s="89" t="s">
        <v>82</v>
      </c>
      <c r="J10" s="20">
        <f t="shared" si="0"/>
        <v>27.252926193998377</v>
      </c>
      <c r="K10" s="20">
        <f t="shared" si="1"/>
        <v>50.946342679914316</v>
      </c>
      <c r="L10" s="20">
        <f t="shared" si="2"/>
        <v>28.67192151055395</v>
      </c>
    </row>
    <row r="11" spans="2:12" ht="12.75" customHeight="1" outlineLevel="1" x14ac:dyDescent="0.2">
      <c r="B11" s="58" t="s">
        <v>19</v>
      </c>
      <c r="C11" s="55">
        <f>77328574.9</f>
        <v>77328574.900000006</v>
      </c>
      <c r="D11" s="56">
        <f>40123685.2</f>
        <v>40123685.200000003</v>
      </c>
      <c r="E11" s="89" t="s">
        <v>82</v>
      </c>
      <c r="F11" s="89" t="s">
        <v>82</v>
      </c>
      <c r="G11" s="89" t="s">
        <v>82</v>
      </c>
      <c r="H11" s="89" t="s">
        <v>82</v>
      </c>
      <c r="I11" s="89" t="s">
        <v>82</v>
      </c>
      <c r="J11" s="20">
        <f t="shared" si="0"/>
        <v>2.6627732805863151</v>
      </c>
      <c r="K11" s="20">
        <f t="shared" si="1"/>
        <v>51.887268389320859</v>
      </c>
      <c r="L11" s="20">
        <f t="shared" si="2"/>
        <v>2.8014175783510593</v>
      </c>
    </row>
    <row r="12" spans="2:12" ht="12.75" customHeight="1" outlineLevel="1" x14ac:dyDescent="0.2">
      <c r="B12" s="58" t="s">
        <v>20</v>
      </c>
      <c r="C12" s="55">
        <f>C7-SUM(C8:C11)</f>
        <v>1024495373.1699996</v>
      </c>
      <c r="D12" s="55">
        <f>D7-SUM(D8:D11)</f>
        <v>392470023.76999986</v>
      </c>
      <c r="E12" s="89" t="s">
        <v>82</v>
      </c>
      <c r="F12" s="89" t="s">
        <v>82</v>
      </c>
      <c r="G12" s="89" t="s">
        <v>82</v>
      </c>
      <c r="H12" s="89" t="s">
        <v>82</v>
      </c>
      <c r="I12" s="89" t="s">
        <v>82</v>
      </c>
      <c r="J12" s="20">
        <f t="shared" si="0"/>
        <v>26.04592991687193</v>
      </c>
      <c r="K12" s="20">
        <f t="shared" si="1"/>
        <v>38.308618471903564</v>
      </c>
      <c r="L12" s="20">
        <f t="shared" si="2"/>
        <v>27.402079796128383</v>
      </c>
    </row>
    <row r="13" spans="2:12" ht="27" customHeight="1" x14ac:dyDescent="0.2">
      <c r="B13" s="97" t="s">
        <v>62</v>
      </c>
      <c r="C13" s="53">
        <f>C14+C31+C33</f>
        <v>424242829.14999998</v>
      </c>
      <c r="D13" s="53">
        <f>D14+D31+D33</f>
        <v>74574574.989999995</v>
      </c>
      <c r="E13" s="88" t="s">
        <v>82</v>
      </c>
      <c r="F13" s="88" t="s">
        <v>82</v>
      </c>
      <c r="G13" s="88" t="s">
        <v>82</v>
      </c>
      <c r="H13" s="88" t="s">
        <v>82</v>
      </c>
      <c r="I13" s="88" t="s">
        <v>82</v>
      </c>
      <c r="J13" s="54">
        <f t="shared" si="0"/>
        <v>4.9490764545837989</v>
      </c>
      <c r="K13" s="54">
        <f t="shared" si="1"/>
        <v>17.578275899068309</v>
      </c>
      <c r="L13" s="57"/>
    </row>
    <row r="14" spans="2:12" ht="27" customHeight="1" outlineLevel="1" x14ac:dyDescent="0.2">
      <c r="B14" s="99" t="s">
        <v>29</v>
      </c>
      <c r="C14" s="53">
        <f>C15+C17+C19+C21+C23+C25+C27+C29</f>
        <v>102963564.73</v>
      </c>
      <c r="D14" s="53">
        <f>D15+D17+D19+D21+D23+D25+D27+D29</f>
        <v>11962337.15</v>
      </c>
      <c r="E14" s="88" t="s">
        <v>82</v>
      </c>
      <c r="F14" s="88" t="s">
        <v>82</v>
      </c>
      <c r="G14" s="88" t="s">
        <v>82</v>
      </c>
      <c r="H14" s="88" t="s">
        <v>82</v>
      </c>
      <c r="I14" s="88" t="s">
        <v>82</v>
      </c>
      <c r="J14" s="54">
        <f t="shared" si="0"/>
        <v>0.79387004403037853</v>
      </c>
      <c r="K14" s="54">
        <f t="shared" si="1"/>
        <v>11.618029330441967</v>
      </c>
      <c r="L14" s="17"/>
    </row>
    <row r="15" spans="2:12" ht="22.5" outlineLevel="1" x14ac:dyDescent="0.2">
      <c r="B15" s="98" t="s">
        <v>9</v>
      </c>
      <c r="C15" s="55">
        <f>0</f>
        <v>0</v>
      </c>
      <c r="D15" s="55">
        <f>0</f>
        <v>0</v>
      </c>
      <c r="E15" s="89" t="s">
        <v>82</v>
      </c>
      <c r="F15" s="89" t="s">
        <v>82</v>
      </c>
      <c r="G15" s="89" t="s">
        <v>82</v>
      </c>
      <c r="H15" s="89" t="s">
        <v>82</v>
      </c>
      <c r="I15" s="89" t="s">
        <v>82</v>
      </c>
      <c r="J15" s="20">
        <f t="shared" si="0"/>
        <v>0</v>
      </c>
      <c r="K15" s="20" t="str">
        <f t="shared" si="1"/>
        <v/>
      </c>
      <c r="L15" s="17"/>
    </row>
    <row r="16" spans="2:12" ht="12.75" customHeight="1" outlineLevel="1" x14ac:dyDescent="0.2">
      <c r="B16" s="100" t="s">
        <v>6</v>
      </c>
      <c r="C16" s="55">
        <f>0</f>
        <v>0</v>
      </c>
      <c r="D16" s="55">
        <f>0</f>
        <v>0</v>
      </c>
      <c r="E16" s="89" t="s">
        <v>82</v>
      </c>
      <c r="F16" s="89" t="s">
        <v>82</v>
      </c>
      <c r="G16" s="89" t="s">
        <v>82</v>
      </c>
      <c r="H16" s="89" t="s">
        <v>82</v>
      </c>
      <c r="I16" s="89" t="s">
        <v>82</v>
      </c>
      <c r="J16" s="20">
        <f t="shared" si="0"/>
        <v>0</v>
      </c>
      <c r="K16" s="20" t="str">
        <f t="shared" si="1"/>
        <v/>
      </c>
      <c r="L16" s="17"/>
    </row>
    <row r="17" spans="1:17" ht="12.75" customHeight="1" outlineLevel="1" x14ac:dyDescent="0.2">
      <c r="B17" s="98" t="s">
        <v>7</v>
      </c>
      <c r="C17" s="55">
        <f>3420000</f>
        <v>3420000</v>
      </c>
      <c r="D17" s="55">
        <f>0</f>
        <v>0</v>
      </c>
      <c r="E17" s="89" t="s">
        <v>82</v>
      </c>
      <c r="F17" s="89" t="s">
        <v>82</v>
      </c>
      <c r="G17" s="89" t="s">
        <v>82</v>
      </c>
      <c r="H17" s="89" t="s">
        <v>82</v>
      </c>
      <c r="I17" s="89" t="s">
        <v>82</v>
      </c>
      <c r="J17" s="20">
        <f t="shared" si="0"/>
        <v>0</v>
      </c>
      <c r="K17" s="20">
        <f t="shared" si="1"/>
        <v>0</v>
      </c>
      <c r="L17" s="17"/>
    </row>
    <row r="18" spans="1:17" ht="12.75" customHeight="1" outlineLevel="1" x14ac:dyDescent="0.2">
      <c r="B18" s="100" t="s">
        <v>6</v>
      </c>
      <c r="C18" s="55">
        <f>3420000</f>
        <v>3420000</v>
      </c>
      <c r="D18" s="55">
        <f>0</f>
        <v>0</v>
      </c>
      <c r="E18" s="89" t="s">
        <v>82</v>
      </c>
      <c r="F18" s="89" t="s">
        <v>82</v>
      </c>
      <c r="G18" s="89" t="s">
        <v>82</v>
      </c>
      <c r="H18" s="89" t="s">
        <v>82</v>
      </c>
      <c r="I18" s="89" t="s">
        <v>82</v>
      </c>
      <c r="J18" s="20">
        <f t="shared" si="0"/>
        <v>0</v>
      </c>
      <c r="K18" s="20">
        <f t="shared" si="1"/>
        <v>0</v>
      </c>
      <c r="L18" s="17"/>
    </row>
    <row r="19" spans="1:17" ht="33.75" outlineLevel="1" x14ac:dyDescent="0.2">
      <c r="B19" s="98" t="s">
        <v>10</v>
      </c>
      <c r="C19" s="55">
        <f>0</f>
        <v>0</v>
      </c>
      <c r="D19" s="55">
        <f>0</f>
        <v>0</v>
      </c>
      <c r="E19" s="89" t="s">
        <v>82</v>
      </c>
      <c r="F19" s="89" t="s">
        <v>82</v>
      </c>
      <c r="G19" s="89" t="s">
        <v>82</v>
      </c>
      <c r="H19" s="89" t="s">
        <v>82</v>
      </c>
      <c r="I19" s="89" t="s">
        <v>82</v>
      </c>
      <c r="J19" s="20">
        <f t="shared" si="0"/>
        <v>0</v>
      </c>
      <c r="K19" s="20" t="str">
        <f t="shared" si="1"/>
        <v/>
      </c>
      <c r="L19" s="17"/>
    </row>
    <row r="20" spans="1:17" ht="12.75" customHeight="1" outlineLevel="1" x14ac:dyDescent="0.2">
      <c r="B20" s="100" t="s">
        <v>6</v>
      </c>
      <c r="C20" s="55">
        <f>0</f>
        <v>0</v>
      </c>
      <c r="D20" s="55">
        <f>0</f>
        <v>0</v>
      </c>
      <c r="E20" s="89" t="s">
        <v>82</v>
      </c>
      <c r="F20" s="89" t="s">
        <v>82</v>
      </c>
      <c r="G20" s="89" t="s">
        <v>82</v>
      </c>
      <c r="H20" s="89" t="s">
        <v>82</v>
      </c>
      <c r="I20" s="89" t="s">
        <v>82</v>
      </c>
      <c r="J20" s="20">
        <f t="shared" si="0"/>
        <v>0</v>
      </c>
      <c r="K20" s="20" t="str">
        <f t="shared" si="1"/>
        <v/>
      </c>
      <c r="L20" s="17"/>
    </row>
    <row r="21" spans="1:17" ht="22.5" outlineLevel="1" x14ac:dyDescent="0.2">
      <c r="B21" s="101" t="s">
        <v>11</v>
      </c>
      <c r="C21" s="55">
        <f>19194182.55</f>
        <v>19194182.550000001</v>
      </c>
      <c r="D21" s="55">
        <f>9597612.59</f>
        <v>9597612.5899999999</v>
      </c>
      <c r="E21" s="89" t="s">
        <v>82</v>
      </c>
      <c r="F21" s="89" t="s">
        <v>82</v>
      </c>
      <c r="G21" s="89" t="s">
        <v>82</v>
      </c>
      <c r="H21" s="89" t="s">
        <v>82</v>
      </c>
      <c r="I21" s="89" t="s">
        <v>82</v>
      </c>
      <c r="J21" s="20">
        <f t="shared" si="0"/>
        <v>0.63693716653102495</v>
      </c>
      <c r="K21" s="20">
        <f t="shared" si="1"/>
        <v>50.00271600522003</v>
      </c>
      <c r="L21" s="17"/>
    </row>
    <row r="22" spans="1:17" ht="12.75" customHeight="1" outlineLevel="1" x14ac:dyDescent="0.2">
      <c r="B22" s="100" t="s">
        <v>6</v>
      </c>
      <c r="C22" s="55">
        <f>0</f>
        <v>0</v>
      </c>
      <c r="D22" s="55">
        <f>0</f>
        <v>0</v>
      </c>
      <c r="E22" s="89" t="s">
        <v>82</v>
      </c>
      <c r="F22" s="89" t="s">
        <v>82</v>
      </c>
      <c r="G22" s="89" t="s">
        <v>82</v>
      </c>
      <c r="H22" s="89" t="s">
        <v>82</v>
      </c>
      <c r="I22" s="89" t="s">
        <v>82</v>
      </c>
      <c r="J22" s="20">
        <f t="shared" si="0"/>
        <v>0</v>
      </c>
      <c r="K22" s="20" t="str">
        <f t="shared" si="1"/>
        <v/>
      </c>
      <c r="L22" s="17"/>
    </row>
    <row r="23" spans="1:17" ht="34.5" customHeight="1" outlineLevel="1" x14ac:dyDescent="0.2">
      <c r="B23" s="101" t="s">
        <v>43</v>
      </c>
      <c r="C23" s="55">
        <f>3466692.18</f>
        <v>3466692.18</v>
      </c>
      <c r="D23" s="55">
        <f>1489939.56</f>
        <v>1489939.56</v>
      </c>
      <c r="E23" s="89" t="s">
        <v>82</v>
      </c>
      <c r="F23" s="89" t="s">
        <v>82</v>
      </c>
      <c r="G23" s="89" t="s">
        <v>82</v>
      </c>
      <c r="H23" s="89" t="s">
        <v>82</v>
      </c>
      <c r="I23" s="89" t="s">
        <v>82</v>
      </c>
      <c r="J23" s="20">
        <f t="shared" si="0"/>
        <v>9.8878535964002895E-2</v>
      </c>
      <c r="K23" s="20">
        <f t="shared" si="1"/>
        <v>42.978709462459399</v>
      </c>
      <c r="L23" s="17"/>
    </row>
    <row r="24" spans="1:17" ht="12.75" customHeight="1" outlineLevel="1" x14ac:dyDescent="0.2">
      <c r="B24" s="100" t="s">
        <v>6</v>
      </c>
      <c r="C24" s="55">
        <f>3082100.18</f>
        <v>3082100.18</v>
      </c>
      <c r="D24" s="55">
        <f>1307500</f>
        <v>1307500</v>
      </c>
      <c r="E24" s="89" t="s">
        <v>82</v>
      </c>
      <c r="F24" s="89" t="s">
        <v>82</v>
      </c>
      <c r="G24" s="89" t="s">
        <v>82</v>
      </c>
      <c r="H24" s="89" t="s">
        <v>82</v>
      </c>
      <c r="I24" s="89" t="s">
        <v>82</v>
      </c>
      <c r="J24" s="20">
        <f t="shared" si="0"/>
        <v>8.6771094105947341E-2</v>
      </c>
      <c r="K24" s="20">
        <f t="shared" si="1"/>
        <v>42.422371877607169</v>
      </c>
      <c r="L24" s="17"/>
    </row>
    <row r="25" spans="1:17" ht="12.75" customHeight="1" outlineLevel="1" x14ac:dyDescent="0.2">
      <c r="B25" s="98" t="s">
        <v>8</v>
      </c>
      <c r="C25" s="55">
        <f>467090</f>
        <v>467090</v>
      </c>
      <c r="D25" s="55">
        <f>0</f>
        <v>0</v>
      </c>
      <c r="E25" s="89" t="s">
        <v>82</v>
      </c>
      <c r="F25" s="89" t="s">
        <v>82</v>
      </c>
      <c r="G25" s="89" t="s">
        <v>82</v>
      </c>
      <c r="H25" s="89" t="s">
        <v>82</v>
      </c>
      <c r="I25" s="89" t="s">
        <v>82</v>
      </c>
      <c r="J25" s="20">
        <f t="shared" si="0"/>
        <v>0</v>
      </c>
      <c r="K25" s="20">
        <f t="shared" si="1"/>
        <v>0</v>
      </c>
      <c r="L25" s="17"/>
    </row>
    <row r="26" spans="1:17" ht="12.75" customHeight="1" outlineLevel="1" x14ac:dyDescent="0.2">
      <c r="B26" s="100" t="s">
        <v>6</v>
      </c>
      <c r="C26" s="55">
        <f>0</f>
        <v>0</v>
      </c>
      <c r="D26" s="55">
        <f>0</f>
        <v>0</v>
      </c>
      <c r="E26" s="89" t="s">
        <v>82</v>
      </c>
      <c r="F26" s="89" t="s">
        <v>82</v>
      </c>
      <c r="G26" s="89" t="s">
        <v>82</v>
      </c>
      <c r="H26" s="89" t="s">
        <v>82</v>
      </c>
      <c r="I26" s="89" t="s">
        <v>82</v>
      </c>
      <c r="J26" s="20">
        <f t="shared" si="0"/>
        <v>0</v>
      </c>
      <c r="K26" s="20" t="str">
        <f t="shared" si="1"/>
        <v/>
      </c>
      <c r="L26" s="17"/>
    </row>
    <row r="27" spans="1:17" ht="67.5" outlineLevel="1" x14ac:dyDescent="0.2">
      <c r="B27" s="102" t="s">
        <v>73</v>
      </c>
      <c r="C27" s="55">
        <f>840000</f>
        <v>840000</v>
      </c>
      <c r="D27" s="55">
        <f>0</f>
        <v>0</v>
      </c>
      <c r="E27" s="89" t="s">
        <v>82</v>
      </c>
      <c r="F27" s="89" t="s">
        <v>82</v>
      </c>
      <c r="G27" s="89" t="s">
        <v>82</v>
      </c>
      <c r="H27" s="89" t="s">
        <v>82</v>
      </c>
      <c r="I27" s="89" t="s">
        <v>82</v>
      </c>
      <c r="J27" s="20">
        <f t="shared" si="0"/>
        <v>0</v>
      </c>
      <c r="K27" s="20">
        <f t="shared" si="1"/>
        <v>0</v>
      </c>
      <c r="L27" s="17"/>
    </row>
    <row r="28" spans="1:17" ht="12.75" customHeight="1" outlineLevel="1" x14ac:dyDescent="0.2">
      <c r="B28" s="100" t="s">
        <v>74</v>
      </c>
      <c r="C28" s="55">
        <f>0</f>
        <v>0</v>
      </c>
      <c r="D28" s="55">
        <f>0</f>
        <v>0</v>
      </c>
      <c r="E28" s="89" t="s">
        <v>82</v>
      </c>
      <c r="F28" s="89" t="s">
        <v>82</v>
      </c>
      <c r="G28" s="89" t="s">
        <v>82</v>
      </c>
      <c r="H28" s="89" t="s">
        <v>82</v>
      </c>
      <c r="I28" s="89" t="s">
        <v>82</v>
      </c>
      <c r="J28" s="20">
        <f t="shared" si="0"/>
        <v>0</v>
      </c>
      <c r="K28" s="20" t="str">
        <f t="shared" si="1"/>
        <v/>
      </c>
      <c r="L28" s="17"/>
    </row>
    <row r="29" spans="1:17" ht="45" outlineLevel="1" x14ac:dyDescent="0.2">
      <c r="B29" s="102" t="s">
        <v>70</v>
      </c>
      <c r="C29" s="55">
        <f>75575600</f>
        <v>75575600</v>
      </c>
      <c r="D29" s="55">
        <f>874785</f>
        <v>874785</v>
      </c>
      <c r="E29" s="89" t="s">
        <v>82</v>
      </c>
      <c r="F29" s="89" t="s">
        <v>82</v>
      </c>
      <c r="G29" s="89" t="s">
        <v>82</v>
      </c>
      <c r="H29" s="89" t="s">
        <v>82</v>
      </c>
      <c r="I29" s="89" t="s">
        <v>82</v>
      </c>
      <c r="J29" s="68">
        <f t="shared" si="0"/>
        <v>5.8054341535350787E-2</v>
      </c>
      <c r="K29" s="68">
        <f t="shared" si="1"/>
        <v>1.1574965994315625</v>
      </c>
      <c r="L29" s="17"/>
    </row>
    <row r="30" spans="1:17" ht="12.75" customHeight="1" outlineLevel="1" x14ac:dyDescent="0.2">
      <c r="B30" s="100" t="s">
        <v>6</v>
      </c>
      <c r="C30" s="55">
        <f>75249815</f>
        <v>75249815</v>
      </c>
      <c r="D30" s="55">
        <f>855000</f>
        <v>855000</v>
      </c>
      <c r="E30" s="89" t="s">
        <v>82</v>
      </c>
      <c r="F30" s="89" t="s">
        <v>82</v>
      </c>
      <c r="G30" s="89" t="s">
        <v>82</v>
      </c>
      <c r="H30" s="89" t="s">
        <v>82</v>
      </c>
      <c r="I30" s="89" t="s">
        <v>82</v>
      </c>
      <c r="J30" s="20">
        <f t="shared" si="0"/>
        <v>5.6741327312110887E-2</v>
      </c>
      <c r="K30" s="20">
        <f t="shared" si="1"/>
        <v>1.1362154179382369</v>
      </c>
      <c r="L30" s="17"/>
    </row>
    <row r="31" spans="1:17" s="5" customFormat="1" ht="13.5" customHeight="1" outlineLevel="1" x14ac:dyDescent="0.2">
      <c r="A31" s="2"/>
      <c r="B31" s="99" t="s">
        <v>40</v>
      </c>
      <c r="C31" s="55">
        <f>4311694.11</f>
        <v>4311694.1100000003</v>
      </c>
      <c r="D31" s="55">
        <f>1968627.95</f>
        <v>1968627.95</v>
      </c>
      <c r="E31" s="88" t="s">
        <v>82</v>
      </c>
      <c r="F31" s="88" t="s">
        <v>82</v>
      </c>
      <c r="G31" s="88" t="s">
        <v>82</v>
      </c>
      <c r="H31" s="88" t="s">
        <v>82</v>
      </c>
      <c r="I31" s="88" t="s">
        <v>82</v>
      </c>
      <c r="J31" s="19">
        <f t="shared" si="0"/>
        <v>0.13064627235873669</v>
      </c>
      <c r="K31" s="19">
        <f t="shared" si="1"/>
        <v>45.65787599436176</v>
      </c>
      <c r="L31" s="43"/>
      <c r="M31" s="12"/>
      <c r="N31" s="12"/>
      <c r="O31" s="9"/>
      <c r="P31" s="9"/>
      <c r="Q31" s="3"/>
    </row>
    <row r="32" spans="1:17" s="5" customFormat="1" ht="12.75" customHeight="1" outlineLevel="1" x14ac:dyDescent="0.2">
      <c r="A32" s="2"/>
      <c r="B32" s="103" t="s">
        <v>39</v>
      </c>
      <c r="C32" s="55">
        <f>3557809.44</f>
        <v>3557809.44</v>
      </c>
      <c r="D32" s="55">
        <f>1968627.95</f>
        <v>1968627.95</v>
      </c>
      <c r="E32" s="89" t="s">
        <v>82</v>
      </c>
      <c r="F32" s="89" t="s">
        <v>82</v>
      </c>
      <c r="G32" s="89" t="s">
        <v>82</v>
      </c>
      <c r="H32" s="89" t="s">
        <v>82</v>
      </c>
      <c r="I32" s="89" t="s">
        <v>82</v>
      </c>
      <c r="J32" s="20">
        <f t="shared" si="0"/>
        <v>0.13064627235873669</v>
      </c>
      <c r="K32" s="20">
        <f t="shared" si="1"/>
        <v>55.332585491144236</v>
      </c>
      <c r="L32" s="43"/>
      <c r="M32" s="12"/>
      <c r="N32" s="12"/>
      <c r="O32" s="9"/>
      <c r="P32" s="9"/>
      <c r="Q32" s="3"/>
    </row>
    <row r="33" spans="1:26" s="5" customFormat="1" ht="13.5" customHeight="1" outlineLevel="1" x14ac:dyDescent="0.2">
      <c r="A33" s="2"/>
      <c r="B33" s="99" t="s">
        <v>49</v>
      </c>
      <c r="C33" s="55">
        <f>316967570.31</f>
        <v>316967570.31</v>
      </c>
      <c r="D33" s="55">
        <f>60643609.89</f>
        <v>60643609.890000001</v>
      </c>
      <c r="E33" s="88" t="s">
        <v>82</v>
      </c>
      <c r="F33" s="88" t="s">
        <v>82</v>
      </c>
      <c r="G33" s="88" t="s">
        <v>82</v>
      </c>
      <c r="H33" s="88" t="s">
        <v>82</v>
      </c>
      <c r="I33" s="88" t="s">
        <v>82</v>
      </c>
      <c r="J33" s="59">
        <f t="shared" si="0"/>
        <v>4.0245601381946843</v>
      </c>
      <c r="K33" s="59">
        <f t="shared" si="1"/>
        <v>19.132433589559163</v>
      </c>
      <c r="L33" s="43"/>
      <c r="M33" s="12"/>
      <c r="N33" s="12"/>
      <c r="O33" s="9"/>
      <c r="P33" s="9"/>
      <c r="Q33" s="3"/>
    </row>
    <row r="34" spans="1:26" s="5" customFormat="1" ht="12.75" customHeight="1" outlineLevel="1" x14ac:dyDescent="0.2">
      <c r="A34" s="2"/>
      <c r="B34" s="103" t="s">
        <v>50</v>
      </c>
      <c r="C34" s="55">
        <f>284405830.84</f>
        <v>284405830.83999997</v>
      </c>
      <c r="D34" s="55">
        <f>53977529.25</f>
        <v>53977529.25</v>
      </c>
      <c r="E34" s="89" t="s">
        <v>82</v>
      </c>
      <c r="F34" s="89" t="s">
        <v>82</v>
      </c>
      <c r="G34" s="89" t="s">
        <v>82</v>
      </c>
      <c r="H34" s="89" t="s">
        <v>82</v>
      </c>
      <c r="I34" s="89" t="s">
        <v>82</v>
      </c>
      <c r="J34" s="20">
        <f t="shared" si="0"/>
        <v>3.5821715259336715</v>
      </c>
      <c r="K34" s="20">
        <f t="shared" si="1"/>
        <v>18.979051551290624</v>
      </c>
      <c r="L34" s="43"/>
      <c r="M34" s="12"/>
      <c r="N34" s="12"/>
      <c r="O34" s="9"/>
      <c r="P34" s="9"/>
      <c r="Q34" s="3"/>
    </row>
    <row r="35" spans="1:26" s="5" customFormat="1" ht="8.25" customHeight="1" x14ac:dyDescent="0.2">
      <c r="A35" s="2"/>
      <c r="B35" s="92"/>
      <c r="C35" s="36"/>
      <c r="D35" s="36"/>
      <c r="E35" s="36"/>
      <c r="F35" s="36"/>
      <c r="G35" s="36"/>
      <c r="H35" s="36"/>
      <c r="I35" s="36"/>
      <c r="J35" s="36"/>
      <c r="K35" s="36"/>
      <c r="L35" s="43"/>
      <c r="M35" s="12"/>
      <c r="N35" s="12"/>
      <c r="O35" s="9"/>
      <c r="P35" s="9"/>
      <c r="Q35" s="3"/>
    </row>
    <row r="36" spans="1:26" s="5" customFormat="1" ht="13.5" customHeight="1" x14ac:dyDescent="0.2">
      <c r="A36" s="2"/>
      <c r="B36" s="94" t="s">
        <v>5</v>
      </c>
      <c r="C36" s="53">
        <f>+C6</f>
        <v>3606730092</v>
      </c>
      <c r="D36" s="53">
        <f>+D6</f>
        <v>1506838208.5899999</v>
      </c>
      <c r="E36" s="90" t="s">
        <v>82</v>
      </c>
      <c r="F36" s="90" t="s">
        <v>82</v>
      </c>
      <c r="G36" s="90" t="s">
        <v>82</v>
      </c>
      <c r="H36" s="90" t="s">
        <v>82</v>
      </c>
      <c r="I36" s="90" t="s">
        <v>82</v>
      </c>
      <c r="J36" s="59">
        <f t="shared" si="0"/>
        <v>100</v>
      </c>
      <c r="K36" s="59">
        <f t="shared" si="1"/>
        <v>41.778513228153145</v>
      </c>
      <c r="L36" s="43"/>
      <c r="M36" s="12"/>
      <c r="N36" s="12"/>
      <c r="O36" s="9"/>
      <c r="P36" s="9"/>
      <c r="Q36" s="3"/>
    </row>
    <row r="37" spans="1:26" s="5" customFormat="1" ht="13.5" customHeight="1" x14ac:dyDescent="0.2">
      <c r="A37" s="2"/>
      <c r="B37" s="93" t="s">
        <v>51</v>
      </c>
      <c r="C37" s="14">
        <f>463540860.36</f>
        <v>463540860.36000001</v>
      </c>
      <c r="D37" s="14">
        <f>92124635.83</f>
        <v>92124635.829999998</v>
      </c>
      <c r="E37" s="91" t="s">
        <v>82</v>
      </c>
      <c r="F37" s="91" t="s">
        <v>82</v>
      </c>
      <c r="G37" s="91" t="s">
        <v>82</v>
      </c>
      <c r="H37" s="91" t="s">
        <v>82</v>
      </c>
      <c r="I37" s="91" t="s">
        <v>82</v>
      </c>
      <c r="J37" s="20">
        <f t="shared" si="0"/>
        <v>6.1137708948994716</v>
      </c>
      <c r="K37" s="20">
        <f t="shared" si="1"/>
        <v>19.874113310842368</v>
      </c>
      <c r="L37" s="43"/>
      <c r="M37" s="12"/>
      <c r="N37" s="12"/>
      <c r="O37" s="9"/>
      <c r="P37" s="9"/>
      <c r="Q37" s="3"/>
    </row>
    <row r="38" spans="1:26" s="5" customFormat="1" ht="13.5" customHeight="1" x14ac:dyDescent="0.2">
      <c r="A38" s="2"/>
      <c r="B38" s="93" t="s">
        <v>52</v>
      </c>
      <c r="C38" s="14">
        <f>C36-C37</f>
        <v>3143189231.6399999</v>
      </c>
      <c r="D38" s="14">
        <f>D36-D37</f>
        <v>1414713572.76</v>
      </c>
      <c r="E38" s="91" t="s">
        <v>82</v>
      </c>
      <c r="F38" s="91" t="s">
        <v>82</v>
      </c>
      <c r="G38" s="91" t="s">
        <v>82</v>
      </c>
      <c r="H38" s="91" t="s">
        <v>82</v>
      </c>
      <c r="I38" s="91" t="s">
        <v>82</v>
      </c>
      <c r="J38" s="20">
        <f t="shared" si="0"/>
        <v>93.88622910510054</v>
      </c>
      <c r="K38" s="20">
        <f t="shared" si="1"/>
        <v>45.008857835194824</v>
      </c>
      <c r="L38" s="43"/>
      <c r="M38" s="12"/>
      <c r="N38" s="12"/>
      <c r="O38" s="9"/>
      <c r="P38" s="9"/>
      <c r="Q38" s="3"/>
    </row>
    <row r="39" spans="1:26" s="5" customFormat="1" ht="9" customHeight="1" x14ac:dyDescent="0.2">
      <c r="A39" s="2"/>
      <c r="B39" s="35"/>
      <c r="C39" s="7"/>
      <c r="D39" s="8"/>
      <c r="E39" s="8"/>
      <c r="F39" s="12"/>
      <c r="G39" s="12"/>
      <c r="H39" s="12"/>
      <c r="I39" s="12"/>
      <c r="J39" s="12"/>
      <c r="K39" s="9"/>
      <c r="L39" s="9"/>
      <c r="M39" s="3"/>
    </row>
    <row r="40" spans="1:26" ht="18" customHeight="1" x14ac:dyDescent="0.2">
      <c r="B40" s="115" t="str">
        <f>CONCATENATE("Informacja z wykonania budżetów związków jednostek samorządu terytorialnego za ",$D$90," ",$C$91," rok                 ",$C$93,"")</f>
        <v xml:space="preserve">Informacja z wykonania budżetów związków jednostek samorządu terytorialnego za II Kwartały 2022 rok                 </v>
      </c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52"/>
    </row>
    <row r="41" spans="1:26" s="5" customFormat="1" ht="6" hidden="1" customHeight="1" x14ac:dyDescent="0.2">
      <c r="B41" s="6"/>
      <c r="C41" s="7"/>
      <c r="D41" s="8"/>
      <c r="E41" s="8"/>
      <c r="F41" s="4"/>
      <c r="G41" s="4"/>
      <c r="H41" s="4"/>
      <c r="I41" s="4"/>
      <c r="J41" s="4"/>
      <c r="K41" s="9"/>
      <c r="L41" s="9"/>
      <c r="M41" s="3"/>
    </row>
    <row r="42" spans="1:26" ht="29.25" customHeight="1" x14ac:dyDescent="0.2">
      <c r="B42" s="120" t="s">
        <v>0</v>
      </c>
      <c r="C42" s="136" t="s">
        <v>53</v>
      </c>
      <c r="D42" s="136" t="s">
        <v>55</v>
      </c>
      <c r="E42" s="136" t="s">
        <v>54</v>
      </c>
      <c r="F42" s="136" t="s">
        <v>12</v>
      </c>
      <c r="G42" s="136"/>
      <c r="H42" s="136"/>
      <c r="I42" s="151" t="s">
        <v>56</v>
      </c>
      <c r="J42" s="136" t="s">
        <v>2</v>
      </c>
      <c r="K42" s="150" t="s">
        <v>18</v>
      </c>
      <c r="L42" s="38"/>
      <c r="M42" s="12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8" customHeight="1" x14ac:dyDescent="0.2">
      <c r="B43" s="120"/>
      <c r="C43" s="136"/>
      <c r="D43" s="136"/>
      <c r="E43" s="122"/>
      <c r="F43" s="121" t="s">
        <v>57</v>
      </c>
      <c r="G43" s="138" t="s">
        <v>24</v>
      </c>
      <c r="H43" s="122"/>
      <c r="I43" s="152"/>
      <c r="J43" s="136"/>
      <c r="K43" s="150"/>
      <c r="L43" s="46"/>
      <c r="M43" s="12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64.5" customHeight="1" x14ac:dyDescent="0.2">
      <c r="B44" s="120"/>
      <c r="C44" s="136"/>
      <c r="D44" s="136"/>
      <c r="E44" s="122"/>
      <c r="F44" s="122"/>
      <c r="G44" s="39" t="s">
        <v>58</v>
      </c>
      <c r="H44" s="39" t="s">
        <v>59</v>
      </c>
      <c r="I44" s="153"/>
      <c r="J44" s="136"/>
      <c r="K44" s="150"/>
      <c r="L44" s="46"/>
      <c r="M44" s="12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3.5" customHeight="1" x14ac:dyDescent="0.2">
      <c r="B45" s="120"/>
      <c r="C45" s="126" t="s">
        <v>42</v>
      </c>
      <c r="D45" s="127"/>
      <c r="E45" s="127"/>
      <c r="F45" s="127"/>
      <c r="G45" s="127"/>
      <c r="H45" s="127"/>
      <c r="I45" s="128"/>
      <c r="J45" s="135" t="s">
        <v>4</v>
      </c>
      <c r="K45" s="135"/>
      <c r="L45" s="38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customHeight="1" x14ac:dyDescent="0.2">
      <c r="B46" s="42">
        <v>1</v>
      </c>
      <c r="C46" s="41">
        <v>2</v>
      </c>
      <c r="D46" s="41">
        <v>3</v>
      </c>
      <c r="E46" s="41">
        <v>4</v>
      </c>
      <c r="F46" s="42">
        <v>5</v>
      </c>
      <c r="G46" s="42">
        <v>6</v>
      </c>
      <c r="H46" s="41">
        <v>7</v>
      </c>
      <c r="I46" s="85">
        <v>8</v>
      </c>
      <c r="J46" s="42">
        <v>9</v>
      </c>
      <c r="K46" s="41">
        <v>10</v>
      </c>
      <c r="L46" s="38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27" customHeight="1" x14ac:dyDescent="0.2">
      <c r="B47" s="95" t="s">
        <v>30</v>
      </c>
      <c r="C47" s="60">
        <f>3925353292.87</f>
        <v>3925353292.8699999</v>
      </c>
      <c r="D47" s="70">
        <f>1513847628.59</f>
        <v>1513847628.5899999</v>
      </c>
      <c r="E47" s="70">
        <f>2362490735.62</f>
        <v>2362490735.6199999</v>
      </c>
      <c r="F47" s="60">
        <f>185809369.54</f>
        <v>185809369.53999999</v>
      </c>
      <c r="G47" s="60">
        <f>0</f>
        <v>0</v>
      </c>
      <c r="H47" s="60">
        <f>0</f>
        <v>0</v>
      </c>
      <c r="I47" s="79">
        <f>0</f>
        <v>0</v>
      </c>
      <c r="J47" s="34">
        <f>IF($D$47=0,"",100*$D47/$D$47)</f>
        <v>100</v>
      </c>
      <c r="K47" s="34">
        <f>IF(C47=0,"",100*D47/C47)</f>
        <v>38.565894981726828</v>
      </c>
      <c r="L47" s="22"/>
      <c r="M47" s="76"/>
    </row>
    <row r="48" spans="1:26" x14ac:dyDescent="0.2">
      <c r="B48" s="96" t="s">
        <v>14</v>
      </c>
      <c r="C48" s="16">
        <f>834794980.53</f>
        <v>834794980.52999997</v>
      </c>
      <c r="D48" s="16">
        <f>153705045.78</f>
        <v>153705045.78</v>
      </c>
      <c r="E48" s="16">
        <f>449726225.78</f>
        <v>449726225.77999997</v>
      </c>
      <c r="F48" s="16">
        <f>11822665.75</f>
        <v>11822665.75</v>
      </c>
      <c r="G48" s="16">
        <f>0</f>
        <v>0</v>
      </c>
      <c r="H48" s="16">
        <f>0</f>
        <v>0</v>
      </c>
      <c r="I48" s="80">
        <f>0</f>
        <v>0</v>
      </c>
      <c r="J48" s="34">
        <f t="shared" ref="J48:J56" si="3">IF($D$47=0,"",100*$D48/$D$47)</f>
        <v>10.153270572095893</v>
      </c>
      <c r="K48" s="34">
        <f t="shared" ref="K48:K56" si="4">IF(C48=0,"",100*D48/C48)</f>
        <v>18.412310730763469</v>
      </c>
      <c r="L48" s="22"/>
      <c r="M48" s="78"/>
    </row>
    <row r="49" spans="2:16" ht="12.75" customHeight="1" outlineLevel="1" x14ac:dyDescent="0.2">
      <c r="B49" s="58" t="s">
        <v>13</v>
      </c>
      <c r="C49" s="55">
        <f>822272964.64</f>
        <v>822272964.63999999</v>
      </c>
      <c r="D49" s="55">
        <f>152254350.78</f>
        <v>152254350.78</v>
      </c>
      <c r="E49" s="55">
        <f>448275530.78</f>
        <v>448275530.77999997</v>
      </c>
      <c r="F49" s="55">
        <f>11822665.75</f>
        <v>11822665.75</v>
      </c>
      <c r="G49" s="55">
        <f>0</f>
        <v>0</v>
      </c>
      <c r="H49" s="55">
        <f>0</f>
        <v>0</v>
      </c>
      <c r="I49" s="81">
        <f>0</f>
        <v>0</v>
      </c>
      <c r="J49" s="34">
        <f t="shared" si="3"/>
        <v>10.057442235570957</v>
      </c>
      <c r="K49" s="34">
        <f t="shared" si="4"/>
        <v>18.51627833181389</v>
      </c>
      <c r="L49" s="22"/>
      <c r="M49" s="77"/>
    </row>
    <row r="50" spans="2:16" ht="27" customHeight="1" x14ac:dyDescent="0.2">
      <c r="B50" s="97" t="s">
        <v>31</v>
      </c>
      <c r="C50" s="61">
        <f t="shared" ref="C50:I50" si="5">C47-C48</f>
        <v>3090558312.3400002</v>
      </c>
      <c r="D50" s="69">
        <f>D47-D48</f>
        <v>1360142582.8099999</v>
      </c>
      <c r="E50" s="69">
        <f>E47-E48</f>
        <v>1912764509.8399999</v>
      </c>
      <c r="F50" s="61">
        <f t="shared" si="5"/>
        <v>173986703.78999999</v>
      </c>
      <c r="G50" s="61">
        <f t="shared" si="5"/>
        <v>0</v>
      </c>
      <c r="H50" s="61">
        <f t="shared" si="5"/>
        <v>0</v>
      </c>
      <c r="I50" s="80">
        <f t="shared" si="5"/>
        <v>0</v>
      </c>
      <c r="J50" s="34">
        <f t="shared" si="3"/>
        <v>89.846729427904108</v>
      </c>
      <c r="K50" s="34">
        <f t="shared" si="4"/>
        <v>44.009607499693963</v>
      </c>
      <c r="L50" s="22"/>
      <c r="M50" s="78"/>
    </row>
    <row r="51" spans="2:16" ht="22.5" outlineLevel="1" x14ac:dyDescent="0.2">
      <c r="B51" s="58" t="s">
        <v>75</v>
      </c>
      <c r="C51" s="55">
        <f>234917839.45</f>
        <v>234917839.44999999</v>
      </c>
      <c r="D51" s="55">
        <f>107811659.65</f>
        <v>107811659.65000001</v>
      </c>
      <c r="E51" s="55">
        <f>183152090.2</f>
        <v>183152090.19999999</v>
      </c>
      <c r="F51" s="55">
        <f>5302872.77</f>
        <v>5302872.7699999996</v>
      </c>
      <c r="G51" s="55">
        <f>0</f>
        <v>0</v>
      </c>
      <c r="H51" s="55">
        <f>0</f>
        <v>0</v>
      </c>
      <c r="I51" s="81">
        <f>0</f>
        <v>0</v>
      </c>
      <c r="J51" s="34">
        <f t="shared" si="3"/>
        <v>7.1216982220605614</v>
      </c>
      <c r="K51" s="34">
        <f t="shared" si="4"/>
        <v>45.89334718147137</v>
      </c>
      <c r="L51" s="22"/>
      <c r="M51" s="77"/>
    </row>
    <row r="52" spans="2:16" ht="12.75" customHeight="1" outlineLevel="1" x14ac:dyDescent="0.2">
      <c r="B52" s="58" t="s">
        <v>27</v>
      </c>
      <c r="C52" s="63">
        <f>39803133.13</f>
        <v>39803133.130000003</v>
      </c>
      <c r="D52" s="63">
        <f>18910001.78</f>
        <v>18910001.780000001</v>
      </c>
      <c r="E52" s="63">
        <f>32517780.42</f>
        <v>32517780.420000002</v>
      </c>
      <c r="F52" s="63">
        <f>424803.91</f>
        <v>424803.91</v>
      </c>
      <c r="G52" s="63">
        <f>0</f>
        <v>0</v>
      </c>
      <c r="H52" s="63">
        <f>0</f>
        <v>0</v>
      </c>
      <c r="I52" s="82">
        <f>0</f>
        <v>0</v>
      </c>
      <c r="J52" s="34">
        <f t="shared" si="3"/>
        <v>1.2491350795728897</v>
      </c>
      <c r="K52" s="34">
        <f t="shared" si="4"/>
        <v>47.508827303213856</v>
      </c>
      <c r="L52" s="22"/>
      <c r="M52" s="77"/>
    </row>
    <row r="53" spans="2:16" ht="12.75" customHeight="1" outlineLevel="1" x14ac:dyDescent="0.2">
      <c r="B53" s="58" t="s">
        <v>26</v>
      </c>
      <c r="C53" s="55">
        <f>16302800</f>
        <v>16302800</v>
      </c>
      <c r="D53" s="55">
        <f>5653995.27</f>
        <v>5653995.2699999996</v>
      </c>
      <c r="E53" s="55">
        <f>7145302.46</f>
        <v>7145302.46</v>
      </c>
      <c r="F53" s="55">
        <f>33924.57</f>
        <v>33924.57</v>
      </c>
      <c r="G53" s="55">
        <f>0</f>
        <v>0</v>
      </c>
      <c r="H53" s="55">
        <f>0</f>
        <v>0</v>
      </c>
      <c r="I53" s="81">
        <f>0</f>
        <v>0</v>
      </c>
      <c r="J53" s="34">
        <f t="shared" si="3"/>
        <v>0.37348509607047709</v>
      </c>
      <c r="K53" s="34">
        <f t="shared" si="4"/>
        <v>34.681130051279531</v>
      </c>
      <c r="L53" s="22"/>
      <c r="M53" s="77"/>
    </row>
    <row r="54" spans="2:16" ht="22.5" customHeight="1" outlineLevel="1" x14ac:dyDescent="0.2">
      <c r="B54" s="58" t="s">
        <v>37</v>
      </c>
      <c r="C54" s="63">
        <f>0</f>
        <v>0</v>
      </c>
      <c r="D54" s="63">
        <f>0</f>
        <v>0</v>
      </c>
      <c r="E54" s="63">
        <f>0</f>
        <v>0</v>
      </c>
      <c r="F54" s="63">
        <f>0</f>
        <v>0</v>
      </c>
      <c r="G54" s="63">
        <f>0</f>
        <v>0</v>
      </c>
      <c r="H54" s="63">
        <f>0</f>
        <v>0</v>
      </c>
      <c r="I54" s="82">
        <f>0</f>
        <v>0</v>
      </c>
      <c r="J54" s="34">
        <f t="shared" si="3"/>
        <v>0</v>
      </c>
      <c r="K54" s="34" t="str">
        <f t="shared" si="4"/>
        <v/>
      </c>
      <c r="L54" s="22"/>
      <c r="M54" s="77"/>
    </row>
    <row r="55" spans="2:16" ht="22.5" outlineLevel="1" x14ac:dyDescent="0.2">
      <c r="B55" s="58" t="s">
        <v>38</v>
      </c>
      <c r="C55" s="63">
        <f>3006816</f>
        <v>3006816</v>
      </c>
      <c r="D55" s="63">
        <f>858239.11</f>
        <v>858239.11</v>
      </c>
      <c r="E55" s="63">
        <f>1867708.52</f>
        <v>1867708.52</v>
      </c>
      <c r="F55" s="63">
        <f>49608.43</f>
        <v>49608.43</v>
      </c>
      <c r="G55" s="63">
        <f>0</f>
        <v>0</v>
      </c>
      <c r="H55" s="63">
        <f>0</f>
        <v>0</v>
      </c>
      <c r="I55" s="83">
        <f>0</f>
        <v>0</v>
      </c>
      <c r="J55" s="34">
        <f t="shared" si="3"/>
        <v>5.669256890796634E-2</v>
      </c>
      <c r="K55" s="34">
        <f t="shared" si="4"/>
        <v>28.543120363866628</v>
      </c>
      <c r="L55" s="22"/>
      <c r="M55" s="77"/>
    </row>
    <row r="56" spans="2:16" ht="12.75" customHeight="1" outlineLevel="1" x14ac:dyDescent="0.2">
      <c r="B56" s="58" t="s">
        <v>25</v>
      </c>
      <c r="C56" s="55">
        <f t="shared" ref="C56:I56" si="6">C50-C51-C52-C53-C54-C55</f>
        <v>2796527723.7600002</v>
      </c>
      <c r="D56" s="55">
        <f>D50-D51-D52-D53-D54-D55</f>
        <v>1226908687</v>
      </c>
      <c r="E56" s="73">
        <f>E50-E51-E52-E53-E54-E55</f>
        <v>1688081628.2399998</v>
      </c>
      <c r="F56" s="73">
        <f t="shared" si="6"/>
        <v>168175494.10999998</v>
      </c>
      <c r="G56" s="73">
        <f t="shared" si="6"/>
        <v>0</v>
      </c>
      <c r="H56" s="73">
        <f t="shared" si="6"/>
        <v>0</v>
      </c>
      <c r="I56" s="84">
        <f t="shared" si="6"/>
        <v>0</v>
      </c>
      <c r="J56" s="34">
        <f t="shared" si="3"/>
        <v>81.045718461292211</v>
      </c>
      <c r="K56" s="34">
        <f t="shared" si="4"/>
        <v>43.87257371260354</v>
      </c>
      <c r="L56" s="22"/>
      <c r="M56" s="77"/>
    </row>
    <row r="57" spans="2:16" x14ac:dyDescent="0.2">
      <c r="B57" s="95" t="s">
        <v>15</v>
      </c>
      <c r="C57" s="61">
        <f>C6-C47</f>
        <v>-318623200.86999989</v>
      </c>
      <c r="D57" s="69">
        <f>D6-D47</f>
        <v>-7009420</v>
      </c>
      <c r="E57" s="74"/>
      <c r="F57" s="75"/>
      <c r="G57" s="75"/>
      <c r="H57" s="75"/>
      <c r="I57" s="137"/>
      <c r="J57" s="137"/>
      <c r="K57" s="64"/>
      <c r="L57" s="64"/>
      <c r="M57" s="44"/>
    </row>
    <row r="58" spans="2:16" ht="7.5" customHeight="1" x14ac:dyDescent="0.2"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</row>
    <row r="59" spans="2:16" ht="18" customHeight="1" x14ac:dyDescent="0.2">
      <c r="B59" s="115" t="str">
        <f>CONCATENATE("Informacja z wykonania budżetów związków jednostek samorządu terytorialnego za ",$D$90," ",$C$91," rok                 ",$C$93,"")</f>
        <v xml:space="preserve">Informacja z wykonania budżetów związków jednostek samorządu terytorialnego za II Kwartały 2022 rok                 </v>
      </c>
      <c r="C59" s="116"/>
      <c r="D59" s="116"/>
      <c r="E59" s="116"/>
      <c r="F59" s="116"/>
      <c r="G59" s="116"/>
      <c r="H59" s="116"/>
      <c r="I59" s="116"/>
      <c r="J59" s="116"/>
      <c r="K59" s="116"/>
      <c r="L59" s="116"/>
      <c r="M59" s="52"/>
    </row>
    <row r="60" spans="2:16" x14ac:dyDescent="0.2">
      <c r="B60" s="47" t="s">
        <v>16</v>
      </c>
      <c r="C60" s="71" t="s">
        <v>17</v>
      </c>
      <c r="D60" s="71" t="s">
        <v>1</v>
      </c>
      <c r="E60" s="141" t="s">
        <v>82</v>
      </c>
      <c r="F60" s="142"/>
      <c r="G60" s="142"/>
      <c r="H60" s="142"/>
      <c r="I60" s="143"/>
      <c r="J60" s="41" t="s">
        <v>21</v>
      </c>
      <c r="K60" s="41" t="s">
        <v>22</v>
      </c>
      <c r="L60" s="38"/>
      <c r="M60" s="38"/>
      <c r="N60" s="38"/>
      <c r="O60" s="38"/>
      <c r="P60" s="38"/>
    </row>
    <row r="61" spans="2:16" x14ac:dyDescent="0.2">
      <c r="B61" s="47"/>
      <c r="C61" s="121" t="s">
        <v>42</v>
      </c>
      <c r="D61" s="123"/>
      <c r="E61" s="144"/>
      <c r="F61" s="145"/>
      <c r="G61" s="145"/>
      <c r="H61" s="145"/>
      <c r="I61" s="146"/>
      <c r="J61" s="154" t="s">
        <v>4</v>
      </c>
      <c r="K61" s="155"/>
      <c r="L61" s="38"/>
      <c r="M61" s="38"/>
      <c r="N61" s="38"/>
      <c r="O61" s="38"/>
      <c r="P61" s="38"/>
    </row>
    <row r="62" spans="2:16" x14ac:dyDescent="0.2">
      <c r="B62" s="48">
        <v>1</v>
      </c>
      <c r="C62" s="49">
        <v>2</v>
      </c>
      <c r="D62" s="49">
        <v>3</v>
      </c>
      <c r="E62" s="147"/>
      <c r="F62" s="148"/>
      <c r="G62" s="148"/>
      <c r="H62" s="148"/>
      <c r="I62" s="149"/>
      <c r="J62" s="50">
        <v>4</v>
      </c>
      <c r="K62" s="50">
        <v>5</v>
      </c>
      <c r="L62" s="38"/>
      <c r="M62" s="38"/>
      <c r="N62" s="38"/>
      <c r="O62" s="38"/>
      <c r="P62" s="38"/>
    </row>
    <row r="63" spans="2:16" ht="27" customHeight="1" x14ac:dyDescent="0.2">
      <c r="B63" s="109" t="s">
        <v>32</v>
      </c>
      <c r="C63" s="27">
        <f>374521768.54</f>
        <v>374521768.54000002</v>
      </c>
      <c r="D63" s="27">
        <f>1161921958.19</f>
        <v>1161921958.1900001</v>
      </c>
      <c r="E63" s="105" t="s">
        <v>82</v>
      </c>
      <c r="F63" s="105" t="s">
        <v>82</v>
      </c>
      <c r="G63" s="105" t="s">
        <v>82</v>
      </c>
      <c r="H63" s="105" t="s">
        <v>82</v>
      </c>
      <c r="I63" s="105" t="s">
        <v>82</v>
      </c>
      <c r="J63" s="25">
        <f>IF($D$63=0,"",100*$D63/$D$63)</f>
        <v>100</v>
      </c>
      <c r="K63" s="21">
        <f t="shared" ref="K63:K76" si="7">IF(C63=0,"",100*D63/C63)</f>
        <v>310.24150150724904</v>
      </c>
      <c r="L63" s="38"/>
      <c r="M63" s="38"/>
      <c r="N63" s="38"/>
      <c r="O63" s="38"/>
      <c r="P63" s="38"/>
    </row>
    <row r="64" spans="2:16" ht="22.5" x14ac:dyDescent="0.2">
      <c r="B64" s="111" t="s">
        <v>63</v>
      </c>
      <c r="C64" s="28">
        <f>39684783</f>
        <v>39684783</v>
      </c>
      <c r="D64" s="28">
        <f>31973836.77</f>
        <v>31973836.77</v>
      </c>
      <c r="E64" s="106" t="s">
        <v>82</v>
      </c>
      <c r="F64" s="106" t="s">
        <v>82</v>
      </c>
      <c r="G64" s="106" t="s">
        <v>82</v>
      </c>
      <c r="H64" s="106" t="s">
        <v>82</v>
      </c>
      <c r="I64" s="106" t="s">
        <v>82</v>
      </c>
      <c r="J64" s="32">
        <f t="shared" ref="J64:J71" si="8">IF($D$63=0,"",100*$D64/$D$63)</f>
        <v>2.7518058803026397</v>
      </c>
      <c r="K64" s="33">
        <f t="shared" si="7"/>
        <v>80.569513936865931</v>
      </c>
      <c r="L64" s="38"/>
      <c r="M64" s="38"/>
      <c r="N64" s="38"/>
      <c r="O64" s="38"/>
      <c r="P64" s="38"/>
    </row>
    <row r="65" spans="2:16" ht="22.5" x14ac:dyDescent="0.2">
      <c r="B65" s="112" t="s">
        <v>64</v>
      </c>
      <c r="C65" s="66">
        <f>0</f>
        <v>0</v>
      </c>
      <c r="D65" s="66">
        <f>0</f>
        <v>0</v>
      </c>
      <c r="E65" s="106" t="s">
        <v>82</v>
      </c>
      <c r="F65" s="106" t="s">
        <v>82</v>
      </c>
      <c r="G65" s="106" t="s">
        <v>82</v>
      </c>
      <c r="H65" s="106" t="s">
        <v>82</v>
      </c>
      <c r="I65" s="106" t="s">
        <v>82</v>
      </c>
      <c r="J65" s="67">
        <f t="shared" si="8"/>
        <v>0</v>
      </c>
      <c r="K65" s="62" t="str">
        <f t="shared" si="7"/>
        <v/>
      </c>
      <c r="L65" s="38"/>
      <c r="M65" s="38"/>
      <c r="N65" s="38"/>
      <c r="O65" s="38"/>
      <c r="P65" s="38"/>
    </row>
    <row r="66" spans="2:16" ht="12.75" customHeight="1" x14ac:dyDescent="0.2">
      <c r="B66" s="65" t="s">
        <v>65</v>
      </c>
      <c r="C66" s="66">
        <f>150000</f>
        <v>150000</v>
      </c>
      <c r="D66" s="66">
        <f>0</f>
        <v>0</v>
      </c>
      <c r="E66" s="106" t="s">
        <v>82</v>
      </c>
      <c r="F66" s="106" t="s">
        <v>82</v>
      </c>
      <c r="G66" s="106" t="s">
        <v>82</v>
      </c>
      <c r="H66" s="106" t="s">
        <v>82</v>
      </c>
      <c r="I66" s="106" t="s">
        <v>82</v>
      </c>
      <c r="J66" s="67">
        <f t="shared" si="8"/>
        <v>0</v>
      </c>
      <c r="K66" s="62">
        <f t="shared" si="7"/>
        <v>0</v>
      </c>
      <c r="L66" s="38"/>
      <c r="M66" s="38"/>
      <c r="N66" s="38"/>
      <c r="O66" s="38"/>
      <c r="P66" s="38"/>
    </row>
    <row r="67" spans="2:16" ht="60" customHeight="1" x14ac:dyDescent="0.2">
      <c r="B67" s="65" t="s">
        <v>76</v>
      </c>
      <c r="C67" s="66">
        <f>233610121.23</f>
        <v>233610121.22999999</v>
      </c>
      <c r="D67" s="66">
        <f>1004216073.93</f>
        <v>1004216073.9299999</v>
      </c>
      <c r="E67" s="106" t="s">
        <v>82</v>
      </c>
      <c r="F67" s="106" t="s">
        <v>82</v>
      </c>
      <c r="G67" s="106" t="s">
        <v>82</v>
      </c>
      <c r="H67" s="106" t="s">
        <v>82</v>
      </c>
      <c r="I67" s="106" t="s">
        <v>82</v>
      </c>
      <c r="J67" s="67">
        <f t="shared" si="8"/>
        <v>86.427153463416033</v>
      </c>
      <c r="K67" s="62">
        <f t="shared" si="7"/>
        <v>429.86839296286428</v>
      </c>
      <c r="L67" s="38"/>
      <c r="M67" s="38"/>
      <c r="N67" s="38"/>
      <c r="O67" s="38"/>
      <c r="P67" s="38"/>
    </row>
    <row r="68" spans="2:16" ht="35.25" customHeight="1" x14ac:dyDescent="0.2">
      <c r="B68" s="65" t="s">
        <v>78</v>
      </c>
      <c r="C68" s="66">
        <f>27688762.04</f>
        <v>27688762.039999999</v>
      </c>
      <c r="D68" s="66">
        <f>35873454.72</f>
        <v>35873454.719999999</v>
      </c>
      <c r="E68" s="106" t="s">
        <v>82</v>
      </c>
      <c r="F68" s="106" t="s">
        <v>82</v>
      </c>
      <c r="G68" s="106" t="s">
        <v>82</v>
      </c>
      <c r="H68" s="106" t="s">
        <v>82</v>
      </c>
      <c r="I68" s="106" t="s">
        <v>82</v>
      </c>
      <c r="J68" s="67">
        <f t="shared" si="8"/>
        <v>3.0874237694829665</v>
      </c>
      <c r="K68" s="62">
        <f t="shared" si="7"/>
        <v>129.55961941590655</v>
      </c>
      <c r="L68" s="38"/>
      <c r="M68" s="38"/>
      <c r="N68" s="38"/>
      <c r="O68" s="38"/>
      <c r="P68" s="38"/>
    </row>
    <row r="69" spans="2:16" ht="12.75" customHeight="1" x14ac:dyDescent="0.2">
      <c r="B69" s="65" t="s">
        <v>66</v>
      </c>
      <c r="C69" s="66">
        <f>0</f>
        <v>0</v>
      </c>
      <c r="D69" s="66">
        <f>0</f>
        <v>0</v>
      </c>
      <c r="E69" s="106" t="s">
        <v>82</v>
      </c>
      <c r="F69" s="106" t="s">
        <v>82</v>
      </c>
      <c r="G69" s="106" t="s">
        <v>82</v>
      </c>
      <c r="H69" s="106" t="s">
        <v>82</v>
      </c>
      <c r="I69" s="106" t="s">
        <v>82</v>
      </c>
      <c r="J69" s="67">
        <f t="shared" si="8"/>
        <v>0</v>
      </c>
      <c r="K69" s="62" t="str">
        <f t="shared" si="7"/>
        <v/>
      </c>
      <c r="L69" s="38"/>
      <c r="M69" s="38"/>
      <c r="N69" s="38"/>
      <c r="O69" s="38"/>
      <c r="P69" s="38"/>
    </row>
    <row r="70" spans="2:16" ht="33.75" x14ac:dyDescent="0.2">
      <c r="B70" s="65" t="s">
        <v>67</v>
      </c>
      <c r="C70" s="66">
        <f>73388102.27</f>
        <v>73388102.269999996</v>
      </c>
      <c r="D70" s="66">
        <f>89000820.52</f>
        <v>89000820.519999996</v>
      </c>
      <c r="E70" s="106" t="s">
        <v>82</v>
      </c>
      <c r="F70" s="106" t="s">
        <v>82</v>
      </c>
      <c r="G70" s="106" t="s">
        <v>82</v>
      </c>
      <c r="H70" s="106" t="s">
        <v>82</v>
      </c>
      <c r="I70" s="106" t="s">
        <v>82</v>
      </c>
      <c r="J70" s="67">
        <f t="shared" si="8"/>
        <v>7.6597933185325333</v>
      </c>
      <c r="K70" s="62">
        <f t="shared" si="7"/>
        <v>121.27418173665224</v>
      </c>
      <c r="L70" s="38"/>
      <c r="M70" s="38"/>
      <c r="N70" s="38"/>
      <c r="O70" s="38"/>
      <c r="P70" s="38"/>
    </row>
    <row r="71" spans="2:16" ht="12.75" customHeight="1" x14ac:dyDescent="0.2">
      <c r="B71" s="65" t="s">
        <v>44</v>
      </c>
      <c r="C71" s="66">
        <f>0</f>
        <v>0</v>
      </c>
      <c r="D71" s="66">
        <f>857772.25</f>
        <v>857772.25</v>
      </c>
      <c r="E71" s="106" t="s">
        <v>82</v>
      </c>
      <c r="F71" s="106" t="s">
        <v>82</v>
      </c>
      <c r="G71" s="106" t="s">
        <v>82</v>
      </c>
      <c r="H71" s="106" t="s">
        <v>82</v>
      </c>
      <c r="I71" s="106" t="s">
        <v>82</v>
      </c>
      <c r="J71" s="67">
        <f t="shared" si="8"/>
        <v>7.3823568265824549E-2</v>
      </c>
      <c r="K71" s="62" t="str">
        <f t="shared" si="7"/>
        <v/>
      </c>
      <c r="L71" s="38"/>
      <c r="M71" s="38"/>
      <c r="N71" s="38"/>
      <c r="O71" s="38"/>
      <c r="P71" s="38"/>
    </row>
    <row r="72" spans="2:16" ht="27" customHeight="1" x14ac:dyDescent="0.2">
      <c r="B72" s="109" t="s">
        <v>33</v>
      </c>
      <c r="C72" s="31">
        <f>55898567.67</f>
        <v>55898567.670000002</v>
      </c>
      <c r="D72" s="31">
        <f>32000111.57</f>
        <v>32000111.57</v>
      </c>
      <c r="E72" s="107" t="s">
        <v>82</v>
      </c>
      <c r="F72" s="107" t="s">
        <v>82</v>
      </c>
      <c r="G72" s="107" t="s">
        <v>82</v>
      </c>
      <c r="H72" s="107" t="s">
        <v>82</v>
      </c>
      <c r="I72" s="107" t="s">
        <v>82</v>
      </c>
      <c r="J72" s="25">
        <f>IF($D$72=0,"",100*$D72/$D$72)</f>
        <v>100</v>
      </c>
      <c r="K72" s="21">
        <f t="shared" si="7"/>
        <v>57.246746927245546</v>
      </c>
      <c r="L72" s="38"/>
      <c r="M72" s="38"/>
      <c r="N72" s="38"/>
      <c r="O72" s="38"/>
      <c r="P72" s="38"/>
    </row>
    <row r="73" spans="2:16" ht="22.5" x14ac:dyDescent="0.2">
      <c r="B73" s="111" t="s">
        <v>68</v>
      </c>
      <c r="C73" s="28">
        <f>39286419.81</f>
        <v>39286419.810000002</v>
      </c>
      <c r="D73" s="30">
        <f>21935912.96</f>
        <v>21935912.960000001</v>
      </c>
      <c r="E73" s="108" t="s">
        <v>82</v>
      </c>
      <c r="F73" s="108" t="s">
        <v>82</v>
      </c>
      <c r="G73" s="108" t="s">
        <v>82</v>
      </c>
      <c r="H73" s="108" t="s">
        <v>82</v>
      </c>
      <c r="I73" s="108" t="s">
        <v>82</v>
      </c>
      <c r="J73" s="32">
        <f>IF($D$72=0,"",100*$D73/$D$72)</f>
        <v>68.549488997922268</v>
      </c>
      <c r="K73" s="33">
        <f t="shared" si="7"/>
        <v>55.835866607566039</v>
      </c>
      <c r="L73" s="38"/>
      <c r="M73" s="38"/>
      <c r="N73" s="38"/>
      <c r="O73" s="38"/>
      <c r="P73" s="38"/>
    </row>
    <row r="74" spans="2:16" ht="12.75" customHeight="1" x14ac:dyDescent="0.2">
      <c r="B74" s="112" t="s">
        <v>69</v>
      </c>
      <c r="C74" s="66">
        <f>0</f>
        <v>0</v>
      </c>
      <c r="D74" s="66">
        <f>0</f>
        <v>0</v>
      </c>
      <c r="E74" s="108" t="s">
        <v>82</v>
      </c>
      <c r="F74" s="108" t="s">
        <v>82</v>
      </c>
      <c r="G74" s="108" t="s">
        <v>82</v>
      </c>
      <c r="H74" s="108" t="s">
        <v>82</v>
      </c>
      <c r="I74" s="108" t="s">
        <v>82</v>
      </c>
      <c r="J74" s="67">
        <f>IF($D$72=0,"",100*$D74/$D$72)</f>
        <v>0</v>
      </c>
      <c r="K74" s="62" t="str">
        <f t="shared" si="7"/>
        <v/>
      </c>
      <c r="L74" s="38"/>
      <c r="M74" s="38"/>
      <c r="N74" s="38"/>
      <c r="O74" s="38"/>
      <c r="P74" s="38"/>
    </row>
    <row r="75" spans="2:16" ht="12.75" customHeight="1" x14ac:dyDescent="0.2">
      <c r="B75" s="65" t="s">
        <v>77</v>
      </c>
      <c r="C75" s="66">
        <f>0</f>
        <v>0</v>
      </c>
      <c r="D75" s="66">
        <f>0</f>
        <v>0</v>
      </c>
      <c r="E75" s="108" t="s">
        <v>82</v>
      </c>
      <c r="F75" s="108" t="s">
        <v>82</v>
      </c>
      <c r="G75" s="108" t="s">
        <v>82</v>
      </c>
      <c r="H75" s="108" t="s">
        <v>82</v>
      </c>
      <c r="I75" s="108" t="s">
        <v>82</v>
      </c>
      <c r="J75" s="67">
        <f>IF($D$72=0,"",100*$D75/$D$72)</f>
        <v>0</v>
      </c>
      <c r="K75" s="62" t="str">
        <f t="shared" si="7"/>
        <v/>
      </c>
      <c r="L75" s="38"/>
      <c r="M75" s="38"/>
      <c r="N75" s="38"/>
      <c r="O75" s="38"/>
      <c r="P75" s="38"/>
    </row>
    <row r="76" spans="2:16" ht="12.75" customHeight="1" x14ac:dyDescent="0.2">
      <c r="B76" s="65" t="s">
        <v>23</v>
      </c>
      <c r="C76" s="66">
        <f>16612147.86</f>
        <v>16612147.859999999</v>
      </c>
      <c r="D76" s="66">
        <f>10064198.61</f>
        <v>10064198.609999999</v>
      </c>
      <c r="E76" s="108" t="s">
        <v>82</v>
      </c>
      <c r="F76" s="108" t="s">
        <v>82</v>
      </c>
      <c r="G76" s="108" t="s">
        <v>82</v>
      </c>
      <c r="H76" s="108" t="s">
        <v>82</v>
      </c>
      <c r="I76" s="108" t="s">
        <v>82</v>
      </c>
      <c r="J76" s="67">
        <f>IF($D$72=0,"",100*$D76/$D$72)</f>
        <v>31.450511002077732</v>
      </c>
      <c r="K76" s="62">
        <f t="shared" si="7"/>
        <v>60.583367634436648</v>
      </c>
      <c r="L76" s="38"/>
      <c r="M76" s="38"/>
      <c r="N76" s="38"/>
      <c r="O76" s="38"/>
      <c r="P76" s="38"/>
    </row>
    <row r="77" spans="2:16" x14ac:dyDescent="0.2">
      <c r="B77" s="22"/>
      <c r="C77" s="22"/>
      <c r="D77" s="22"/>
      <c r="E77" s="22"/>
      <c r="F77" s="22"/>
      <c r="G77" s="22"/>
      <c r="H77" s="22"/>
      <c r="I77" s="38"/>
      <c r="J77" s="38"/>
      <c r="K77" s="38"/>
      <c r="L77" s="38"/>
      <c r="M77" s="38"/>
    </row>
    <row r="78" spans="2:16" x14ac:dyDescent="0.2">
      <c r="B78" s="45" t="s">
        <v>16</v>
      </c>
      <c r="C78" s="72" t="s">
        <v>17</v>
      </c>
      <c r="D78" s="13" t="s">
        <v>1</v>
      </c>
      <c r="E78" s="38"/>
      <c r="F78" s="38"/>
      <c r="G78" s="38"/>
      <c r="H78" s="38"/>
      <c r="I78" s="38"/>
    </row>
    <row r="79" spans="2:16" x14ac:dyDescent="0.2">
      <c r="B79" s="45"/>
      <c r="C79" s="124" t="s">
        <v>42</v>
      </c>
      <c r="D79" s="125"/>
      <c r="E79" s="38"/>
      <c r="F79" s="38"/>
      <c r="G79" s="38"/>
      <c r="H79" s="38"/>
      <c r="I79" s="38"/>
    </row>
    <row r="80" spans="2:16" x14ac:dyDescent="0.2">
      <c r="B80" s="23">
        <v>1</v>
      </c>
      <c r="C80" s="26">
        <v>2</v>
      </c>
      <c r="D80" s="24">
        <v>3</v>
      </c>
      <c r="E80" s="38"/>
      <c r="F80" s="38"/>
      <c r="G80" s="38"/>
      <c r="H80" s="38"/>
      <c r="I80" s="38"/>
    </row>
    <row r="81" spans="2:13" ht="36.75" customHeight="1" x14ac:dyDescent="0.2">
      <c r="B81" s="110" t="s">
        <v>83</v>
      </c>
      <c r="C81" s="29">
        <f>334120401.89</f>
        <v>334120401.88999999</v>
      </c>
      <c r="D81" s="87">
        <f>0</f>
        <v>0</v>
      </c>
      <c r="E81" s="38"/>
      <c r="F81" s="38"/>
      <c r="G81" s="38"/>
      <c r="H81" s="38"/>
      <c r="I81" s="38"/>
    </row>
    <row r="82" spans="2:13" ht="36" customHeight="1" x14ac:dyDescent="0.2">
      <c r="B82" s="113" t="s">
        <v>45</v>
      </c>
      <c r="C82" s="30">
        <f>0</f>
        <v>0</v>
      </c>
      <c r="D82" s="86">
        <f>0</f>
        <v>0</v>
      </c>
      <c r="E82" s="38"/>
      <c r="F82" s="38"/>
      <c r="G82" s="38"/>
      <c r="H82" s="38"/>
      <c r="I82" s="38"/>
    </row>
    <row r="83" spans="2:13" ht="12.75" customHeight="1" x14ac:dyDescent="0.2">
      <c r="B83" s="113" t="s">
        <v>46</v>
      </c>
      <c r="C83" s="30">
        <f>30860118.25</f>
        <v>30860118.25</v>
      </c>
      <c r="D83" s="86">
        <f>0</f>
        <v>0</v>
      </c>
      <c r="E83" s="38"/>
      <c r="F83" s="38"/>
      <c r="G83" s="38"/>
      <c r="H83" s="38"/>
      <c r="I83" s="38"/>
    </row>
    <row r="84" spans="2:13" ht="25.5" customHeight="1" x14ac:dyDescent="0.2">
      <c r="B84" s="113" t="s">
        <v>47</v>
      </c>
      <c r="C84" s="30">
        <f>0</f>
        <v>0</v>
      </c>
      <c r="D84" s="86">
        <f>0</f>
        <v>0</v>
      </c>
      <c r="E84" s="38"/>
      <c r="F84" s="38"/>
      <c r="G84" s="38"/>
      <c r="H84" s="38"/>
      <c r="I84" s="38"/>
    </row>
    <row r="85" spans="2:13" ht="57.75" customHeight="1" x14ac:dyDescent="0.2">
      <c r="B85" s="113" t="s">
        <v>79</v>
      </c>
      <c r="C85" s="30">
        <f>230773497.43</f>
        <v>230773497.43000001</v>
      </c>
      <c r="D85" s="86">
        <f>0</f>
        <v>0</v>
      </c>
      <c r="E85" s="38"/>
      <c r="F85" s="38"/>
      <c r="G85" s="38"/>
      <c r="H85" s="38"/>
      <c r="I85" s="38"/>
    </row>
    <row r="86" spans="2:13" ht="84" customHeight="1" x14ac:dyDescent="0.2">
      <c r="B86" s="113" t="s">
        <v>48</v>
      </c>
      <c r="C86" s="30">
        <f>53213111.99</f>
        <v>53213111.990000002</v>
      </c>
      <c r="D86" s="86">
        <f>0</f>
        <v>0</v>
      </c>
      <c r="E86" s="38"/>
      <c r="F86" s="38"/>
      <c r="G86" s="38"/>
      <c r="H86" s="38"/>
      <c r="I86" s="38"/>
    </row>
    <row r="87" spans="2:13" ht="149.25" customHeight="1" x14ac:dyDescent="0.2">
      <c r="B87" s="113" t="s">
        <v>80</v>
      </c>
      <c r="C87" s="30">
        <f>19123674.22</f>
        <v>19123674.219999999</v>
      </c>
      <c r="D87" s="86">
        <f>0</f>
        <v>0</v>
      </c>
      <c r="E87" s="38"/>
      <c r="F87" s="38"/>
      <c r="G87" s="38"/>
      <c r="H87" s="38"/>
      <c r="I87" s="38"/>
    </row>
    <row r="88" spans="2:13" ht="24" customHeight="1" x14ac:dyDescent="0.2">
      <c r="B88" s="113" t="s">
        <v>81</v>
      </c>
      <c r="C88" s="30">
        <f>150000</f>
        <v>150000</v>
      </c>
      <c r="D88" s="86">
        <f>0</f>
        <v>0</v>
      </c>
      <c r="E88" s="38"/>
      <c r="F88" s="38"/>
      <c r="G88" s="38"/>
      <c r="H88" s="38"/>
      <c r="I88" s="38"/>
    </row>
    <row r="89" spans="2:13" ht="13.5" customHeight="1" x14ac:dyDescent="0.2"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</row>
    <row r="90" spans="2:13" ht="9.75" customHeight="1" x14ac:dyDescent="0.2">
      <c r="B90" s="119" t="s">
        <v>34</v>
      </c>
      <c r="C90" s="117">
        <f>2</f>
        <v>2</v>
      </c>
      <c r="D90" s="117" t="str">
        <f>IF(C90=1,"I Kwartał",IF(C90=2,"II Kwartały",IF(C90=3,"III Kwartały",IF(C90=4,"IV Kwartały","-"))))</f>
        <v>II Kwartały</v>
      </c>
      <c r="E90" s="38"/>
      <c r="F90" s="38"/>
      <c r="G90" s="38"/>
      <c r="H90" s="38"/>
      <c r="I90" s="38"/>
      <c r="J90" s="38"/>
      <c r="K90" s="38"/>
      <c r="L90" s="38"/>
      <c r="M90" s="38"/>
    </row>
    <row r="91" spans="2:13" ht="11.25" customHeight="1" x14ac:dyDescent="0.2">
      <c r="B91" s="119" t="s">
        <v>35</v>
      </c>
      <c r="C91" s="118">
        <f>2022</f>
        <v>2022</v>
      </c>
      <c r="D91" s="37"/>
      <c r="E91" s="38"/>
      <c r="F91" s="38"/>
      <c r="G91" s="38"/>
      <c r="H91" s="38"/>
      <c r="I91" s="38"/>
      <c r="J91" s="38"/>
      <c r="K91" s="38"/>
      <c r="L91" s="38"/>
      <c r="M91" s="38"/>
    </row>
    <row r="92" spans="2:13" ht="10.5" customHeight="1" x14ac:dyDescent="0.2">
      <c r="B92" s="119" t="s">
        <v>36</v>
      </c>
      <c r="C92" s="139" t="str">
        <f>"Aug 18 2022 12:00AM"</f>
        <v>Aug 18 2022 12:00AM</v>
      </c>
      <c r="D92" s="140"/>
      <c r="E92" s="38"/>
      <c r="F92" s="38"/>
      <c r="G92" s="38"/>
      <c r="H92" s="38"/>
      <c r="I92" s="38"/>
      <c r="J92" s="38"/>
      <c r="K92" s="38"/>
      <c r="L92" s="38"/>
      <c r="M92" s="38"/>
    </row>
    <row r="93" spans="2:13" ht="10.5" hidden="1" customHeight="1" x14ac:dyDescent="0.2">
      <c r="B93" s="51" t="s">
        <v>41</v>
      </c>
      <c r="C93" s="104" t="str">
        <f>""</f>
        <v/>
      </c>
      <c r="D93" s="38"/>
      <c r="E93" s="38"/>
      <c r="F93" s="38"/>
      <c r="G93" s="38"/>
      <c r="H93" s="38"/>
      <c r="I93" s="38"/>
      <c r="J93" s="38"/>
      <c r="K93" s="38"/>
      <c r="L93" s="38"/>
      <c r="M93" s="38"/>
    </row>
  </sheetData>
  <mergeCells count="22">
    <mergeCell ref="C92:D92"/>
    <mergeCell ref="E60:I62"/>
    <mergeCell ref="K42:K44"/>
    <mergeCell ref="B42:B45"/>
    <mergeCell ref="I42:I44"/>
    <mergeCell ref="J42:J44"/>
    <mergeCell ref="D42:D44"/>
    <mergeCell ref="J61:K61"/>
    <mergeCell ref="J4:L4"/>
    <mergeCell ref="J45:K45"/>
    <mergeCell ref="E42:E44"/>
    <mergeCell ref="C42:C44"/>
    <mergeCell ref="I57:J57"/>
    <mergeCell ref="G43:H43"/>
    <mergeCell ref="F42:H42"/>
    <mergeCell ref="B3:B4"/>
    <mergeCell ref="F43:F44"/>
    <mergeCell ref="C61:D61"/>
    <mergeCell ref="C79:D79"/>
    <mergeCell ref="C45:I45"/>
    <mergeCell ref="E4:I5"/>
    <mergeCell ref="C4:D4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95" orientation="landscape" useFirstPageNumber="1" r:id="rId1"/>
  <headerFooter alignWithMargins="0">
    <oddFooter>&amp;RStrona &amp;P z &amp;N</oddFooter>
  </headerFooter>
  <rowBreaks count="4" manualBreakCount="4">
    <brk id="28" max="11" man="1"/>
    <brk id="38" max="11" man="1"/>
    <brk id="58" max="11" man="1"/>
    <brk id="7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2017-03-30T12:13:25Z</cp:lastPrinted>
  <dcterms:created xsi:type="dcterms:W3CDTF">2001-05-17T08:58:03Z</dcterms:created>
  <dcterms:modified xsi:type="dcterms:W3CDTF">2022-08-19T13:40:39Z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MF\hhcy;Kołacz Bernard</vt:lpwstr>
  </property>
  <property fmtid="{D5CDD505-2E9C-101B-9397-08002B2CF9AE}" pid="4" name="MFClassificationDate">
    <vt:lpwstr>2022-08-19T15:40:35.8407392+02:00</vt:lpwstr>
  </property>
  <property fmtid="{D5CDD505-2E9C-101B-9397-08002B2CF9AE}" pid="5" name="MFClassifiedBySID">
    <vt:lpwstr>MF\S-1-5-21-1525952054-1005573771-2909822258-435687</vt:lpwstr>
  </property>
  <property fmtid="{D5CDD505-2E9C-101B-9397-08002B2CF9AE}" pid="6" name="MFGRNItemId">
    <vt:lpwstr>GRN-47c6b8c1-2872-4be2-9a74-7137baa2c825</vt:lpwstr>
  </property>
  <property fmtid="{D5CDD505-2E9C-101B-9397-08002B2CF9AE}" pid="7" name="MFHash">
    <vt:lpwstr>Ypm96/XNj047CvFX7oTubDSv5/ISMMdQ8zqKHziAIqo=</vt:lpwstr>
  </property>
  <property fmtid="{D5CDD505-2E9C-101B-9397-08002B2CF9AE}" pid="8" name="DLPManualFileClassification">
    <vt:lpwstr>{2755b7d9-e53d-4779-a40c-03797dcf43b3}</vt:lpwstr>
  </property>
  <property fmtid="{D5CDD505-2E9C-101B-9397-08002B2CF9AE}" pid="9" name="MFRefresh">
    <vt:lpwstr>False</vt:lpwstr>
  </property>
</Properties>
</file>