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T\ST7\BeSTi@\2022\II KWARTAŁ\www\MF\Zestawienia zbiorcze\"/>
    </mc:Choice>
  </mc:AlternateContent>
  <bookViews>
    <workbookView xWindow="0" yWindow="0" windowWidth="21600" windowHeight="9735"/>
  </bookViews>
  <sheets>
    <sheet name="zob_nal" sheetId="7" r:id="rId1"/>
  </sheets>
  <calcPr calcId="152511"/>
</workbook>
</file>

<file path=xl/calcChain.xml><?xml version="1.0" encoding="utf-8"?>
<calcChain xmlns="http://schemas.openxmlformats.org/spreadsheetml/2006/main">
  <c r="B93" i="7" l="1"/>
  <c r="B92" i="7"/>
  <c r="B91" i="7"/>
  <c r="B90" i="7"/>
  <c r="I87" i="7"/>
  <c r="G87" i="7"/>
  <c r="I86" i="7"/>
  <c r="G86" i="7"/>
  <c r="I85" i="7"/>
  <c r="G85" i="7"/>
  <c r="L79" i="7"/>
  <c r="K79" i="7"/>
  <c r="J79" i="7"/>
  <c r="I79" i="7"/>
  <c r="H79" i="7"/>
  <c r="G79" i="7"/>
  <c r="F79" i="7"/>
  <c r="L78" i="7"/>
  <c r="K78" i="7"/>
  <c r="J78" i="7"/>
  <c r="I78" i="7"/>
  <c r="H78" i="7"/>
  <c r="G78" i="7"/>
  <c r="F78" i="7"/>
  <c r="L77" i="7"/>
  <c r="K77" i="7"/>
  <c r="J77" i="7"/>
  <c r="I77" i="7"/>
  <c r="H77" i="7"/>
  <c r="G77" i="7"/>
  <c r="F77" i="7"/>
  <c r="L76" i="7"/>
  <c r="K76" i="7"/>
  <c r="J76" i="7"/>
  <c r="I76" i="7"/>
  <c r="H76" i="7"/>
  <c r="G76" i="7"/>
  <c r="F76" i="7"/>
  <c r="L75" i="7"/>
  <c r="K75" i="7"/>
  <c r="J75" i="7"/>
  <c r="I75" i="7"/>
  <c r="H75" i="7"/>
  <c r="G75" i="7"/>
  <c r="F75" i="7"/>
  <c r="L74" i="7"/>
  <c r="K74" i="7"/>
  <c r="J74" i="7"/>
  <c r="I74" i="7"/>
  <c r="H74" i="7"/>
  <c r="G74" i="7"/>
  <c r="F74" i="7"/>
  <c r="L73" i="7"/>
  <c r="K73" i="7"/>
  <c r="J73" i="7"/>
  <c r="I73" i="7"/>
  <c r="H73" i="7"/>
  <c r="G73" i="7"/>
  <c r="F73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B53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C90" i="7"/>
  <c r="A82" i="7" s="1"/>
  <c r="A63" i="7" l="1"/>
  <c r="A27" i="7"/>
  <c r="A1" i="7"/>
</calcChain>
</file>

<file path=xl/sharedStrings.xml><?xml version="1.0" encoding="utf-8"?>
<sst xmlns="http://schemas.openxmlformats.org/spreadsheetml/2006/main" count="97" uniqueCount="81">
  <si>
    <t>Wyszczególnienie</t>
  </si>
  <si>
    <t>banku centralnego</t>
  </si>
  <si>
    <t>Poręczenia i gwarancje</t>
  </si>
  <si>
    <t>Liczba jednostek</t>
  </si>
  <si>
    <t>Wykonanie</t>
  </si>
  <si>
    <t>JST, których budżety zamknęły się nadwyżką</t>
  </si>
  <si>
    <t>JST, których budżety zamknęły się deficytem</t>
  </si>
  <si>
    <t>JST z budżetami zrównoważonymi</t>
  </si>
  <si>
    <t>kwartał</t>
  </si>
  <si>
    <t>rok</t>
  </si>
  <si>
    <t>stanNa</t>
  </si>
  <si>
    <t>A. Należności oraz wybrane aktywa finansowe</t>
  </si>
  <si>
    <t>kwota 
należności
ogółem
(kol. 3+15)</t>
  </si>
  <si>
    <t>ogółem 
(kol 4+9+10+11 +12+13+14)</t>
  </si>
  <si>
    <t>dłużnicy  krajowi</t>
  </si>
  <si>
    <t>sektor 
finansów 
publicznych 
ogółem 
(kol 5+6+7+8)</t>
  </si>
  <si>
    <t>banki</t>
  </si>
  <si>
    <t>pozostałe 
krajowe 
instytucje 
finansowe</t>
  </si>
  <si>
    <t>przedsiębiorstwa 
niefinansowe</t>
  </si>
  <si>
    <t>gospodarstwa 
domowe</t>
  </si>
  <si>
    <t>instytucje 
niekomercyjne 
działające
 na rzecz
gospodarstw
domowych</t>
  </si>
  <si>
    <t>ogółem
(kol. 16+17)</t>
  </si>
  <si>
    <t>podmioty 
należące 
do strefy 
euro</t>
  </si>
  <si>
    <t>pozostałe 
podmioty 
zagraniczne</t>
  </si>
  <si>
    <t xml:space="preserve">      dłużnicy zagraniczni</t>
  </si>
  <si>
    <t xml:space="preserve">grupa I </t>
  </si>
  <si>
    <t xml:space="preserve">grupa II </t>
  </si>
  <si>
    <t>grupa III</t>
  </si>
  <si>
    <t>grupa IV</t>
  </si>
  <si>
    <t>N1.1 krótkotermionowe</t>
  </si>
  <si>
    <t>N1.2  długoterminowe</t>
  </si>
  <si>
    <t>N2.1 krótkotermionowe</t>
  </si>
  <si>
    <t>N2.2 długoterminowe</t>
  </si>
  <si>
    <t>N3.1 gotówka</t>
  </si>
  <si>
    <t>N3.2 depozyty na żądanie</t>
  </si>
  <si>
    <t>N3.3 depozyty terminowe</t>
  </si>
  <si>
    <t>N4.1 z tytułu dostaw towarów i usług</t>
  </si>
  <si>
    <t>N4.2 pozostałe</t>
  </si>
  <si>
    <t>N5.1 z tytułu dostaw towarów i usług</t>
  </si>
  <si>
    <t>N5.3 z tytułu innych niż wymienione powyżej</t>
  </si>
  <si>
    <t>N1 papiery wartościowe (N1.1+N1.2)</t>
  </si>
  <si>
    <t>N2  pożyczki (N2.1+N2.2)</t>
  </si>
  <si>
    <t>N3 gotówka i depozyty (N3.1+N3.2+N3.3)</t>
  </si>
  <si>
    <t>N4 należności wymagalne (N4.1+N4.2)</t>
  </si>
  <si>
    <t>N5 pozostałe należności  (N5.1+N5.2+N5.3)</t>
  </si>
  <si>
    <t>E  ZOBOWIĄZANIA WG TYTUŁÓW 
    DŁUŻNYCH (E1+E2+E3+E4)</t>
  </si>
  <si>
    <t>E1.1 krótkotermionowe</t>
  </si>
  <si>
    <t>E1.2 długoterminowe</t>
  </si>
  <si>
    <t>E2.1 krótkotermionowe</t>
  </si>
  <si>
    <t>E2.2 długoterminowe</t>
  </si>
  <si>
    <t>E3 przyjęte depozyty</t>
  </si>
  <si>
    <t>E4.1 z tytułu dostaw towarów i usług</t>
  </si>
  <si>
    <t>E4.2 pozostałe</t>
  </si>
  <si>
    <t>F1 wartość nominalna niewymagalnych zobowiązań z tytułu udzielonych poręczeń i gwarancji na koniec okresu sprawozdawczego</t>
  </si>
  <si>
    <t>F2 wartość nominalna wymagalnych zobowiązań z tytułu udzielonych poręczeń i gwarancji na koniec okresu sprawozdawczego</t>
  </si>
  <si>
    <t>F3 wartość poręczeń i gwarancji udzielonych w okresie sprawozdawczym</t>
  </si>
  <si>
    <t>B1 należność główna z tytułu udzielonych gwarancji i poręczeń</t>
  </si>
  <si>
    <t>B2 odsetki ustawowe od nalezności głównej z tytułu udzielonych gwarancji i poręczeń</t>
  </si>
  <si>
    <t>B3 wartość spłat dokonanych w okresie sprawozdawczym za dłużników z tytułu udzielonych poręczeń i gwarancji (wydatki)</t>
  </si>
  <si>
    <t>B4 kwota odzyskanych wierzytelności w okresie sprawozdawczym od dłużników z tytułu poręczeń lub gwarancji (dochody)</t>
  </si>
  <si>
    <t>Zobowiązania według tytułów dłużnych (wg wartości nominalnej)</t>
  </si>
  <si>
    <t>kwota 
zadłużenia
ogółem
(kol. 3+15)</t>
  </si>
  <si>
    <t>ogółem 
(kol. 4+9+10+11 +12+13+14)</t>
  </si>
  <si>
    <t>bank 
centralny</t>
  </si>
  <si>
    <t xml:space="preserve">      wierzyciele zagraniczni</t>
  </si>
  <si>
    <t>wierzyciele krajowi</t>
  </si>
  <si>
    <t>grupa I</t>
  </si>
  <si>
    <t>grupa II</t>
  </si>
  <si>
    <t>kwota 
zadłużenia
ogółem
(kol. 3+8)</t>
  </si>
  <si>
    <t>podmioty 
sektora finansów 
publicznych 
(kol.4+5+6+7)</t>
  </si>
  <si>
    <t xml:space="preserve">grupa III </t>
  </si>
  <si>
    <t xml:space="preserve">grupa IV </t>
  </si>
  <si>
    <t>pozostałe
podmioty</t>
  </si>
  <si>
    <t>sektora finansów publicznych (kol.5+6+7+8)</t>
  </si>
  <si>
    <t>wierzyciele i dłużnicy</t>
  </si>
  <si>
    <t>tytul</t>
  </si>
  <si>
    <t>w złotych</t>
  </si>
  <si>
    <t>E1 papiery wartościowe  (E1.1+E1.2)</t>
  </si>
  <si>
    <t>E2 kredyty i pożyczki (E2.1+E2.2)</t>
  </si>
  <si>
    <t>E4  wymagalne zobowiązania (E4.1+E4.2)</t>
  </si>
  <si>
    <t>N5.2 z tytułu podatków i składek na ubezpieczenia społ.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</si>
</sst>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\ h:mm;@"/>
  </numFmts>
  <fonts count="33" x14ac:knownFonts="1">
    <font>
      <sz val="10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6"/>
      <name val="Arial"/>
      <family val="2"/>
      <charset val="238"/>
    </font>
    <font>
      <sz val="10"/>
      <name val="Arial"/>
      <charset val="238"/>
    </font>
    <font>
      <sz val="8"/>
      <name val="Arial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6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charset val="238"/>
    </font>
    <font>
      <b/>
      <sz val="8"/>
      <name val="Arial CE"/>
      <charset val="238"/>
    </font>
    <font>
      <sz val="8"/>
      <name val="Arial CE"/>
      <charset val="238"/>
    </font>
    <font>
      <sz val="14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3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1" applyNumberFormat="0" applyAlignment="0" applyProtection="0"/>
    <xf numFmtId="0" fontId="21" fillId="0" borderId="7" applyNumberFormat="0" applyFill="0" applyAlignment="0" applyProtection="0"/>
    <xf numFmtId="0" fontId="22" fillId="8" borderId="0" applyNumberFormat="0" applyBorder="0" applyAlignment="0" applyProtection="0"/>
    <xf numFmtId="0" fontId="4" fillId="0" borderId="0"/>
    <xf numFmtId="0" fontId="1" fillId="4" borderId="8" applyNumberFormat="0" applyFont="0" applyAlignment="0" applyProtection="0"/>
    <xf numFmtId="0" fontId="23" fillId="16" borderId="3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</cellStyleXfs>
  <cellXfs count="86">
    <xf numFmtId="0" fontId="0" fillId="0" borderId="0" xfId="0"/>
    <xf numFmtId="0" fontId="3" fillId="0" borderId="0" xfId="37" applyFont="1" applyAlignment="1">
      <alignment horizontal="center" vertical="center" wrapText="1"/>
    </xf>
    <xf numFmtId="0" fontId="4" fillId="0" borderId="0" xfId="37" applyAlignment="1">
      <alignment horizontal="center" vertical="center" wrapText="1"/>
    </xf>
    <xf numFmtId="0" fontId="5" fillId="19" borderId="10" xfId="37" applyFont="1" applyFill="1" applyBorder="1" applyAlignment="1">
      <alignment horizontal="center" vertical="center" wrapText="1"/>
    </xf>
    <xf numFmtId="0" fontId="4" fillId="0" borderId="0" xfId="37" applyFill="1" applyBorder="1" applyAlignment="1">
      <alignment horizontal="center" vertical="center" wrapText="1"/>
    </xf>
    <xf numFmtId="0" fontId="5" fillId="0" borderId="0" xfId="37" applyFont="1" applyFill="1" applyBorder="1" applyAlignment="1">
      <alignment horizontal="center" vertical="center" wrapText="1"/>
    </xf>
    <xf numFmtId="0" fontId="2" fillId="0" borderId="0" xfId="37" applyFont="1" applyFill="1" applyBorder="1" applyAlignment="1">
      <alignment horizontal="left" vertical="center" wrapText="1"/>
    </xf>
    <xf numFmtId="0" fontId="2" fillId="0" borderId="0" xfId="37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0" xfId="0" applyFont="1"/>
    <xf numFmtId="164" fontId="9" fillId="0" borderId="10" xfId="0" applyNumberFormat="1" applyFont="1" applyBorder="1"/>
    <xf numFmtId="0" fontId="27" fillId="0" borderId="0" xfId="37" applyFont="1" applyAlignment="1">
      <alignment horizontal="center" vertical="center" wrapText="1"/>
    </xf>
    <xf numFmtId="0" fontId="27" fillId="0" borderId="0" xfId="37" applyFont="1" applyFill="1" applyBorder="1" applyAlignment="1">
      <alignment horizontal="center" vertical="center" wrapText="1"/>
    </xf>
    <xf numFmtId="0" fontId="7" fillId="19" borderId="10" xfId="37" applyFont="1" applyFill="1" applyBorder="1" applyAlignment="1">
      <alignment horizontal="center" vertical="center" wrapText="1"/>
    </xf>
    <xf numFmtId="0" fontId="4" fillId="0" borderId="10" xfId="37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indent="1"/>
    </xf>
    <xf numFmtId="4" fontId="7" fillId="0" borderId="0" xfId="37" applyNumberFormat="1" applyFont="1" applyBorder="1" applyAlignment="1">
      <alignment horizontal="right" vertical="center" wrapText="1"/>
    </xf>
    <xf numFmtId="0" fontId="2" fillId="0" borderId="10" xfId="37" applyFont="1" applyBorder="1" applyAlignment="1">
      <alignment horizontal="left" vertical="center" wrapText="1"/>
    </xf>
    <xf numFmtId="0" fontId="31" fillId="0" borderId="17" xfId="0" applyFont="1" applyFill="1" applyBorder="1" applyAlignment="1">
      <alignment vertical="center" wrapText="1"/>
    </xf>
    <xf numFmtId="0" fontId="2" fillId="20" borderId="10" xfId="37" applyFont="1" applyFill="1" applyBorder="1" applyAlignment="1">
      <alignment horizontal="left" vertical="center" wrapText="1"/>
    </xf>
    <xf numFmtId="0" fontId="8" fillId="20" borderId="10" xfId="37" applyFont="1" applyFill="1" applyBorder="1" applyAlignment="1">
      <alignment horizontal="left" vertical="center" wrapText="1"/>
    </xf>
    <xf numFmtId="4" fontId="7" fillId="20" borderId="10" xfId="37" applyNumberFormat="1" applyFont="1" applyFill="1" applyBorder="1" applyAlignment="1">
      <alignment horizontal="right" vertical="center" wrapText="1"/>
    </xf>
    <xf numFmtId="4" fontId="7" fillId="0" borderId="10" xfId="37" applyNumberFormat="1" applyFont="1" applyBorder="1" applyAlignment="1">
      <alignment horizontal="right" vertical="center" wrapText="1"/>
    </xf>
    <xf numFmtId="4" fontId="7" fillId="20" borderId="10" xfId="37" applyNumberFormat="1" applyFont="1" applyFill="1" applyBorder="1" applyAlignment="1">
      <alignment vertical="center" wrapText="1"/>
    </xf>
    <xf numFmtId="4" fontId="7" fillId="0" borderId="10" xfId="37" applyNumberFormat="1" applyFont="1" applyFill="1" applyBorder="1" applyAlignment="1">
      <alignment vertical="center" wrapText="1"/>
    </xf>
    <xf numFmtId="0" fontId="30" fillId="21" borderId="17" xfId="0" applyFont="1" applyFill="1" applyBorder="1" applyAlignment="1">
      <alignment vertical="center" wrapText="1"/>
    </xf>
    <xf numFmtId="4" fontId="7" fillId="0" borderId="10" xfId="37" applyNumberFormat="1" applyFont="1" applyFill="1" applyBorder="1" applyAlignment="1">
      <alignment horizontal="right" vertical="center" wrapText="1"/>
    </xf>
    <xf numFmtId="0" fontId="2" fillId="19" borderId="15" xfId="37" applyFont="1" applyFill="1" applyBorder="1" applyAlignment="1">
      <alignment horizontal="center" vertical="center" wrapText="1"/>
    </xf>
    <xf numFmtId="0" fontId="2" fillId="19" borderId="14" xfId="37" applyFont="1" applyFill="1" applyBorder="1" applyAlignment="1">
      <alignment horizontal="center" vertical="center" wrapText="1"/>
    </xf>
    <xf numFmtId="0" fontId="2" fillId="19" borderId="11" xfId="37" applyFont="1" applyFill="1" applyBorder="1" applyAlignment="1">
      <alignment horizontal="center" vertical="center" wrapText="1"/>
    </xf>
    <xf numFmtId="0" fontId="7" fillId="19" borderId="14" xfId="37" applyFont="1" applyFill="1" applyBorder="1" applyAlignment="1">
      <alignment horizontal="center" vertical="center" wrapText="1"/>
    </xf>
    <xf numFmtId="0" fontId="7" fillId="19" borderId="11" xfId="37" applyFont="1" applyFill="1" applyBorder="1" applyAlignment="1">
      <alignment horizontal="center" vertical="center" wrapText="1"/>
    </xf>
    <xf numFmtId="0" fontId="5" fillId="19" borderId="10" xfId="37" applyFont="1" applyFill="1" applyBorder="1" applyAlignment="1">
      <alignment horizontal="center" vertical="center" wrapText="1"/>
    </xf>
    <xf numFmtId="0" fontId="5" fillId="19" borderId="15" xfId="37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19" borderId="10" xfId="37" applyNumberFormat="1" applyFont="1" applyFill="1" applyBorder="1" applyAlignment="1">
      <alignment horizontal="center" vertical="center" wrapText="1"/>
    </xf>
    <xf numFmtId="0" fontId="7" fillId="19" borderId="10" xfId="37" applyFont="1" applyFill="1" applyBorder="1" applyAlignment="1">
      <alignment horizontal="center" vertical="center" wrapText="1"/>
    </xf>
    <xf numFmtId="0" fontId="28" fillId="19" borderId="19" xfId="37" applyFont="1" applyFill="1" applyBorder="1" applyAlignment="1">
      <alignment horizontal="center" vertical="center" wrapText="1"/>
    </xf>
    <xf numFmtId="0" fontId="28" fillId="19" borderId="20" xfId="37" applyFont="1" applyFill="1" applyBorder="1" applyAlignment="1">
      <alignment horizontal="center" vertical="center" wrapText="1"/>
    </xf>
    <xf numFmtId="0" fontId="28" fillId="19" borderId="12" xfId="37" applyFont="1" applyFill="1" applyBorder="1" applyAlignment="1">
      <alignment horizontal="center" vertical="center" wrapText="1"/>
    </xf>
    <xf numFmtId="0" fontId="7" fillId="19" borderId="20" xfId="37" applyFont="1" applyFill="1" applyBorder="1" applyAlignment="1">
      <alignment horizontal="center" vertical="center" wrapText="1"/>
    </xf>
    <xf numFmtId="0" fontId="7" fillId="19" borderId="12" xfId="37" applyFont="1" applyFill="1" applyBorder="1" applyAlignment="1">
      <alignment horizontal="center" vertical="center" wrapText="1"/>
    </xf>
    <xf numFmtId="0" fontId="7" fillId="19" borderId="19" xfId="37" applyFont="1" applyFill="1" applyBorder="1" applyAlignment="1">
      <alignment horizontal="center" vertical="center" wrapText="1"/>
    </xf>
    <xf numFmtId="0" fontId="28" fillId="19" borderId="15" xfId="37" applyFont="1" applyFill="1" applyBorder="1" applyAlignment="1">
      <alignment horizontal="center" vertical="center" wrapText="1"/>
    </xf>
    <xf numFmtId="0" fontId="28" fillId="19" borderId="14" xfId="37" applyFont="1" applyFill="1" applyBorder="1" applyAlignment="1">
      <alignment horizontal="center" vertical="center" wrapText="1"/>
    </xf>
    <xf numFmtId="0" fontId="28" fillId="19" borderId="11" xfId="37" applyFont="1" applyFill="1" applyBorder="1" applyAlignment="1">
      <alignment horizontal="center" vertical="center" wrapText="1"/>
    </xf>
    <xf numFmtId="0" fontId="32" fillId="0" borderId="0" xfId="37" applyFont="1" applyAlignment="1">
      <alignment horizontal="center" vertical="center" wrapText="1"/>
    </xf>
    <xf numFmtId="0" fontId="6" fillId="0" borderId="0" xfId="37" applyFont="1" applyAlignment="1">
      <alignment horizontal="left" vertical="center" wrapText="1"/>
    </xf>
    <xf numFmtId="0" fontId="7" fillId="19" borderId="21" xfId="37" applyFont="1" applyFill="1" applyBorder="1" applyAlignment="1">
      <alignment horizontal="center" vertical="center" wrapText="1"/>
    </xf>
    <xf numFmtId="0" fontId="7" fillId="19" borderId="13" xfId="37" applyFont="1" applyFill="1" applyBorder="1" applyAlignment="1">
      <alignment horizontal="center" vertical="center" wrapText="1"/>
    </xf>
    <xf numFmtId="0" fontId="27" fillId="0" borderId="0" xfId="37" applyFont="1" applyFill="1" applyBorder="1" applyAlignment="1">
      <alignment horizontal="center" vertical="center" wrapText="1"/>
    </xf>
    <xf numFmtId="0" fontId="7" fillId="19" borderId="15" xfId="37" applyFont="1" applyFill="1" applyBorder="1" applyAlignment="1">
      <alignment horizontal="center" vertical="center" wrapText="1"/>
    </xf>
    <xf numFmtId="0" fontId="2" fillId="0" borderId="15" xfId="37" applyFont="1" applyFill="1" applyBorder="1" applyAlignment="1">
      <alignment horizontal="left" vertical="center" wrapText="1"/>
    </xf>
    <xf numFmtId="0" fontId="2" fillId="0" borderId="14" xfId="37" applyFont="1" applyFill="1" applyBorder="1" applyAlignment="1">
      <alignment horizontal="left" vertical="center" wrapText="1"/>
    </xf>
    <xf numFmtId="0" fontId="2" fillId="0" borderId="11" xfId="37" applyFont="1" applyFill="1" applyBorder="1" applyAlignment="1">
      <alignment horizontal="left" vertical="center" wrapText="1"/>
    </xf>
    <xf numFmtId="0" fontId="5" fillId="19" borderId="22" xfId="37" applyFont="1" applyFill="1" applyBorder="1" applyAlignment="1">
      <alignment horizontal="center" vertical="center" wrapText="1"/>
    </xf>
    <xf numFmtId="0" fontId="5" fillId="19" borderId="21" xfId="37" applyFont="1" applyFill="1" applyBorder="1" applyAlignment="1">
      <alignment horizontal="center" vertical="center" wrapText="1"/>
    </xf>
    <xf numFmtId="0" fontId="5" fillId="19" borderId="13" xfId="37" applyFont="1" applyFill="1" applyBorder="1" applyAlignment="1">
      <alignment horizontal="center" vertical="center" wrapText="1"/>
    </xf>
    <xf numFmtId="0" fontId="29" fillId="19" borderId="10" xfId="37" applyFont="1" applyFill="1" applyBorder="1" applyAlignment="1">
      <alignment horizontal="center" vertical="center" wrapText="1"/>
    </xf>
    <xf numFmtId="0" fontId="5" fillId="19" borderId="14" xfId="37" applyFont="1" applyFill="1" applyBorder="1" applyAlignment="1">
      <alignment horizontal="center" vertical="center" wrapText="1"/>
    </xf>
    <xf numFmtId="0" fontId="5" fillId="19" borderId="11" xfId="37" applyFont="1" applyFill="1" applyBorder="1" applyAlignment="1">
      <alignment horizontal="center" vertical="center" wrapText="1"/>
    </xf>
    <xf numFmtId="3" fontId="7" fillId="0" borderId="15" xfId="37" applyNumberFormat="1" applyFont="1" applyBorder="1" applyAlignment="1">
      <alignment horizontal="right" vertical="center" wrapText="1"/>
    </xf>
    <xf numFmtId="3" fontId="7" fillId="0" borderId="11" xfId="37" applyNumberFormat="1" applyFont="1" applyBorder="1" applyAlignment="1">
      <alignment horizontal="right" vertical="center" wrapText="1"/>
    </xf>
    <xf numFmtId="4" fontId="7" fillId="0" borderId="15" xfId="37" applyNumberFormat="1" applyFont="1" applyBorder="1" applyAlignment="1">
      <alignment horizontal="right" vertical="center" wrapText="1"/>
    </xf>
    <xf numFmtId="4" fontId="7" fillId="0" borderId="11" xfId="37" applyNumberFormat="1" applyFont="1" applyBorder="1" applyAlignment="1">
      <alignment horizontal="right" vertical="center" wrapText="1"/>
    </xf>
    <xf numFmtId="0" fontId="2" fillId="0" borderId="15" xfId="37" applyFont="1" applyBorder="1" applyAlignment="1">
      <alignment horizontal="left" vertical="center" wrapText="1"/>
    </xf>
    <xf numFmtId="0" fontId="2" fillId="0" borderId="14" xfId="37" applyFont="1" applyBorder="1" applyAlignment="1">
      <alignment horizontal="left" vertical="center" wrapText="1"/>
    </xf>
    <xf numFmtId="0" fontId="2" fillId="0" borderId="11" xfId="37" applyFont="1" applyBorder="1" applyAlignment="1">
      <alignment horizontal="left" vertical="center" wrapText="1"/>
    </xf>
    <xf numFmtId="0" fontId="2" fillId="20" borderId="15" xfId="37" applyFont="1" applyFill="1" applyBorder="1" applyAlignment="1">
      <alignment horizontal="left" vertical="center" wrapText="1"/>
    </xf>
    <xf numFmtId="0" fontId="2" fillId="20" borderId="14" xfId="37" applyFont="1" applyFill="1" applyBorder="1" applyAlignment="1">
      <alignment horizontal="left" vertical="center" wrapText="1"/>
    </xf>
    <xf numFmtId="0" fontId="2" fillId="20" borderId="11" xfId="37" applyFont="1" applyFill="1" applyBorder="1" applyAlignment="1">
      <alignment horizontal="left" vertical="center" wrapText="1"/>
    </xf>
    <xf numFmtId="3" fontId="7" fillId="20" borderId="15" xfId="37" applyNumberFormat="1" applyFont="1" applyFill="1" applyBorder="1" applyAlignment="1">
      <alignment horizontal="right" vertical="center" wrapText="1"/>
    </xf>
    <xf numFmtId="3" fontId="7" fillId="20" borderId="11" xfId="37" applyNumberFormat="1" applyFont="1" applyFill="1" applyBorder="1" applyAlignment="1">
      <alignment horizontal="right" vertical="center" wrapText="1"/>
    </xf>
    <xf numFmtId="4" fontId="7" fillId="20" borderId="15" xfId="37" applyNumberFormat="1" applyFont="1" applyFill="1" applyBorder="1" applyAlignment="1">
      <alignment horizontal="right" vertical="center" wrapText="1"/>
    </xf>
    <xf numFmtId="4" fontId="7" fillId="20" borderId="11" xfId="37" applyNumberFormat="1" applyFont="1" applyFill="1" applyBorder="1" applyAlignment="1">
      <alignment horizontal="right" vertical="center" wrapText="1"/>
    </xf>
    <xf numFmtId="0" fontId="8" fillId="19" borderId="22" xfId="37" applyFont="1" applyFill="1" applyBorder="1" applyAlignment="1">
      <alignment horizontal="center" vertical="center" wrapText="1"/>
    </xf>
    <xf numFmtId="0" fontId="8" fillId="19" borderId="18" xfId="37" applyFont="1" applyFill="1" applyBorder="1" applyAlignment="1">
      <alignment horizontal="center" vertical="center" wrapText="1"/>
    </xf>
    <xf numFmtId="0" fontId="8" fillId="19" borderId="23" xfId="37" applyFont="1" applyFill="1" applyBorder="1" applyAlignment="1">
      <alignment horizontal="center" vertical="center" wrapText="1"/>
    </xf>
    <xf numFmtId="0" fontId="8" fillId="19" borderId="21" xfId="37" applyFont="1" applyFill="1" applyBorder="1" applyAlignment="1">
      <alignment horizontal="center" vertical="center" wrapText="1"/>
    </xf>
    <xf numFmtId="0" fontId="8" fillId="19" borderId="0" xfId="37" applyFont="1" applyFill="1" applyBorder="1" applyAlignment="1">
      <alignment horizontal="center" vertical="center" wrapText="1"/>
    </xf>
    <xf numFmtId="0" fontId="8" fillId="19" borderId="24" xfId="37" applyFont="1" applyFill="1" applyBorder="1" applyAlignment="1">
      <alignment horizontal="center" vertical="center" wrapText="1"/>
    </xf>
    <xf numFmtId="0" fontId="8" fillId="19" borderId="13" xfId="37" applyFont="1" applyFill="1" applyBorder="1" applyAlignment="1">
      <alignment horizontal="center" vertical="center" wrapText="1"/>
    </xf>
    <xf numFmtId="0" fontId="8" fillId="19" borderId="25" xfId="37" applyFont="1" applyFill="1" applyBorder="1" applyAlignment="1">
      <alignment horizontal="center" vertical="center" wrapText="1"/>
    </xf>
    <xf numFmtId="0" fontId="8" fillId="19" borderId="16" xfId="37" applyFont="1" applyFill="1" applyBorder="1" applyAlignment="1">
      <alignment horizontal="center" vertical="center" wrapText="1"/>
    </xf>
    <xf numFmtId="0" fontId="29" fillId="19" borderId="10" xfId="37" applyNumberFormat="1" applyFont="1" applyFill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y" xfId="0" builtinId="0"/>
    <cellStyle name="Normalny_Zeszyt1" xfId="37"/>
    <cellStyle name="Note" xfId="38"/>
    <cellStyle name="Output" xfId="39"/>
    <cellStyle name="Title" xfId="40"/>
    <cellStyle name="Total" xfId="41"/>
    <cellStyle name="Warning Text" xfId="4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Q93"/>
  <sheetViews>
    <sheetView tabSelected="1" zoomScaleNormal="100" zoomScaleSheetLayoutView="75" workbookViewId="0">
      <selection activeCell="A6" sqref="A6:A10"/>
    </sheetView>
  </sheetViews>
  <sheetFormatPr defaultRowHeight="13.5" customHeight="1" x14ac:dyDescent="0.2"/>
  <cols>
    <col min="1" max="1" width="22.5703125" style="2" customWidth="1"/>
    <col min="2" max="3" width="13.7109375" style="2" customWidth="1"/>
    <col min="4" max="6" width="11.42578125" style="2" customWidth="1"/>
    <col min="7" max="7" width="12.140625" style="2" customWidth="1"/>
    <col min="8" max="8" width="12" style="2" customWidth="1"/>
    <col min="9" max="9" width="12.5703125" style="2" customWidth="1"/>
    <col min="10" max="10" width="12.85546875" style="2" customWidth="1"/>
    <col min="11" max="11" width="12.140625" style="2" customWidth="1"/>
    <col min="12" max="12" width="11.42578125" style="2" customWidth="1"/>
    <col min="13" max="13" width="10" style="2" customWidth="1"/>
    <col min="14" max="14" width="10.28515625" style="2" customWidth="1"/>
    <col min="15" max="15" width="9.140625" style="2"/>
    <col min="16" max="16" width="10.28515625" style="2" customWidth="1"/>
    <col min="17" max="16384" width="9.140625" style="2"/>
  </cols>
  <sheetData>
    <row r="1" spans="1:17" ht="39.75" customHeight="1" x14ac:dyDescent="0.2">
      <c r="A1" s="47" t="str">
        <f>CONCATENATE("Informacja z wykonania budżetów powiatów za   ",$C$90," ",$B$91," roku    ",$B$93,"")</f>
        <v xml:space="preserve">Informacja z wykonania budżetów powiatów za   II Kwartały 2022 roku    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7" ht="13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3.5" customHeight="1" x14ac:dyDescent="0.2">
      <c r="A3" s="48" t="s">
        <v>60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5" spans="1:17" ht="13.5" customHeight="1" x14ac:dyDescent="0.2">
      <c r="B5" s="12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11"/>
      <c r="O5" s="11"/>
      <c r="P5" s="11"/>
      <c r="Q5" s="11"/>
    </row>
    <row r="6" spans="1:17" ht="13.5" customHeight="1" x14ac:dyDescent="0.2">
      <c r="A6" s="38" t="s">
        <v>0</v>
      </c>
      <c r="B6" s="43" t="s">
        <v>61</v>
      </c>
      <c r="C6" s="52" t="s">
        <v>65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1"/>
      <c r="O6" s="52" t="s">
        <v>64</v>
      </c>
      <c r="P6" s="30"/>
      <c r="Q6" s="31"/>
    </row>
    <row r="7" spans="1:17" ht="13.5" customHeight="1" x14ac:dyDescent="0.2">
      <c r="A7" s="39"/>
      <c r="B7" s="41"/>
      <c r="C7" s="42" t="s">
        <v>62</v>
      </c>
      <c r="D7" s="42" t="s">
        <v>73</v>
      </c>
      <c r="E7" s="42" t="s">
        <v>66</v>
      </c>
      <c r="F7" s="42" t="s">
        <v>67</v>
      </c>
      <c r="G7" s="42" t="s">
        <v>27</v>
      </c>
      <c r="H7" s="42" t="s">
        <v>28</v>
      </c>
      <c r="I7" s="49" t="s">
        <v>63</v>
      </c>
      <c r="J7" s="42" t="s">
        <v>16</v>
      </c>
      <c r="K7" s="42" t="s">
        <v>17</v>
      </c>
      <c r="L7" s="42" t="s">
        <v>18</v>
      </c>
      <c r="M7" s="42" t="s">
        <v>19</v>
      </c>
      <c r="N7" s="41" t="s">
        <v>20</v>
      </c>
      <c r="O7" s="37" t="s">
        <v>21</v>
      </c>
      <c r="P7" s="37" t="s">
        <v>22</v>
      </c>
      <c r="Q7" s="37" t="s">
        <v>23</v>
      </c>
    </row>
    <row r="8" spans="1:17" ht="13.5" customHeight="1" x14ac:dyDescent="0.2">
      <c r="A8" s="39"/>
      <c r="B8" s="41"/>
      <c r="C8" s="37"/>
      <c r="D8" s="37"/>
      <c r="E8" s="37"/>
      <c r="F8" s="37"/>
      <c r="G8" s="37"/>
      <c r="H8" s="37"/>
      <c r="I8" s="49"/>
      <c r="J8" s="37"/>
      <c r="K8" s="37"/>
      <c r="L8" s="37"/>
      <c r="M8" s="37"/>
      <c r="N8" s="41"/>
      <c r="O8" s="37"/>
      <c r="P8" s="37"/>
      <c r="Q8" s="37"/>
    </row>
    <row r="9" spans="1:17" ht="11.25" customHeight="1" x14ac:dyDescent="0.2">
      <c r="A9" s="39"/>
      <c r="B9" s="41"/>
      <c r="C9" s="37"/>
      <c r="D9" s="37"/>
      <c r="E9" s="37"/>
      <c r="F9" s="37"/>
      <c r="G9" s="37"/>
      <c r="H9" s="37"/>
      <c r="I9" s="49"/>
      <c r="J9" s="37"/>
      <c r="K9" s="37"/>
      <c r="L9" s="37"/>
      <c r="M9" s="37"/>
      <c r="N9" s="41"/>
      <c r="O9" s="37"/>
      <c r="P9" s="37"/>
      <c r="Q9" s="37"/>
    </row>
    <row r="10" spans="1:17" ht="33.75" customHeight="1" x14ac:dyDescent="0.2">
      <c r="A10" s="40"/>
      <c r="B10" s="42"/>
      <c r="C10" s="37"/>
      <c r="D10" s="37"/>
      <c r="E10" s="37"/>
      <c r="F10" s="37"/>
      <c r="G10" s="37"/>
      <c r="H10" s="37"/>
      <c r="I10" s="50"/>
      <c r="J10" s="37"/>
      <c r="K10" s="37"/>
      <c r="L10" s="37"/>
      <c r="M10" s="37"/>
      <c r="N10" s="42"/>
      <c r="O10" s="37"/>
      <c r="P10" s="37"/>
      <c r="Q10" s="37"/>
    </row>
    <row r="11" spans="1:17" ht="15.75" customHeight="1" x14ac:dyDescent="0.2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  <c r="H11" s="13">
        <v>8</v>
      </c>
      <c r="I11" s="13">
        <v>9</v>
      </c>
      <c r="J11" s="13">
        <v>10</v>
      </c>
      <c r="K11" s="13">
        <v>11</v>
      </c>
      <c r="L11" s="13">
        <v>12</v>
      </c>
      <c r="M11" s="13">
        <v>13</v>
      </c>
      <c r="N11" s="13">
        <v>14</v>
      </c>
      <c r="O11" s="13">
        <v>15</v>
      </c>
      <c r="P11" s="13">
        <v>16</v>
      </c>
      <c r="Q11" s="13">
        <v>17</v>
      </c>
    </row>
    <row r="12" spans="1:17" ht="12" customHeight="1" x14ac:dyDescent="0.2">
      <c r="A12" s="13"/>
      <c r="B12" s="27" t="s">
        <v>76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9"/>
    </row>
    <row r="13" spans="1:17" ht="39.75" customHeight="1" x14ac:dyDescent="0.2">
      <c r="A13" s="20" t="s">
        <v>45</v>
      </c>
      <c r="B13" s="21">
        <f>5866982112.59</f>
        <v>5866982112.5900002</v>
      </c>
      <c r="C13" s="21">
        <f>5866982112.59</f>
        <v>5866982112.5900002</v>
      </c>
      <c r="D13" s="21">
        <f>255284994.45</f>
        <v>255284994.44999999</v>
      </c>
      <c r="E13" s="21">
        <f>208110364.95</f>
        <v>208110364.94999999</v>
      </c>
      <c r="F13" s="21">
        <f>14973952.89</f>
        <v>14973952.890000001</v>
      </c>
      <c r="G13" s="21">
        <f>32197729.31</f>
        <v>32197729.309999999</v>
      </c>
      <c r="H13" s="21">
        <f>2947.3</f>
        <v>2947.3</v>
      </c>
      <c r="I13" s="21">
        <f>0</f>
        <v>0</v>
      </c>
      <c r="J13" s="21">
        <f>5337488512.91</f>
        <v>5337488512.9099998</v>
      </c>
      <c r="K13" s="21">
        <f>267439505.97</f>
        <v>267439505.97</v>
      </c>
      <c r="L13" s="21">
        <f>5679783.41</f>
        <v>5679783.4100000001</v>
      </c>
      <c r="M13" s="21">
        <f>84310.85</f>
        <v>84310.85</v>
      </c>
      <c r="N13" s="21">
        <f>1005005</f>
        <v>1005005</v>
      </c>
      <c r="O13" s="21">
        <f>0</f>
        <v>0</v>
      </c>
      <c r="P13" s="21">
        <f>0</f>
        <v>0</v>
      </c>
      <c r="Q13" s="21">
        <f>0</f>
        <v>0</v>
      </c>
    </row>
    <row r="14" spans="1:17" ht="24.75" customHeight="1" x14ac:dyDescent="0.2">
      <c r="A14" s="19" t="s">
        <v>77</v>
      </c>
      <c r="B14" s="21">
        <f>69123000</f>
        <v>69123000</v>
      </c>
      <c r="C14" s="21">
        <f>69123000</f>
        <v>69123000</v>
      </c>
      <c r="D14" s="21">
        <f>0</f>
        <v>0</v>
      </c>
      <c r="E14" s="21">
        <f>0</f>
        <v>0</v>
      </c>
      <c r="F14" s="21">
        <f>0</f>
        <v>0</v>
      </c>
      <c r="G14" s="21">
        <f>0</f>
        <v>0</v>
      </c>
      <c r="H14" s="21">
        <f>0</f>
        <v>0</v>
      </c>
      <c r="I14" s="21">
        <f>0</f>
        <v>0</v>
      </c>
      <c r="J14" s="21">
        <f>69123000</f>
        <v>69123000</v>
      </c>
      <c r="K14" s="21">
        <f>0</f>
        <v>0</v>
      </c>
      <c r="L14" s="21">
        <f>0</f>
        <v>0</v>
      </c>
      <c r="M14" s="21">
        <f>0</f>
        <v>0</v>
      </c>
      <c r="N14" s="21">
        <f>0</f>
        <v>0</v>
      </c>
      <c r="O14" s="21">
        <f>0</f>
        <v>0</v>
      </c>
      <c r="P14" s="21">
        <f>0</f>
        <v>0</v>
      </c>
      <c r="Q14" s="21">
        <f>0</f>
        <v>0</v>
      </c>
    </row>
    <row r="15" spans="1:17" ht="21" customHeight="1" x14ac:dyDescent="0.2">
      <c r="A15" s="17" t="s">
        <v>46</v>
      </c>
      <c r="B15" s="22">
        <f>0</f>
        <v>0</v>
      </c>
      <c r="C15" s="22">
        <f>0</f>
        <v>0</v>
      </c>
      <c r="D15" s="22">
        <f>0</f>
        <v>0</v>
      </c>
      <c r="E15" s="22">
        <f>0</f>
        <v>0</v>
      </c>
      <c r="F15" s="22">
        <f>0</f>
        <v>0</v>
      </c>
      <c r="G15" s="22">
        <f>0</f>
        <v>0</v>
      </c>
      <c r="H15" s="22">
        <f>0</f>
        <v>0</v>
      </c>
      <c r="I15" s="22">
        <f>0</f>
        <v>0</v>
      </c>
      <c r="J15" s="22">
        <f>0</f>
        <v>0</v>
      </c>
      <c r="K15" s="22">
        <f>0</f>
        <v>0</v>
      </c>
      <c r="L15" s="22">
        <f>0</f>
        <v>0</v>
      </c>
      <c r="M15" s="22">
        <f>0</f>
        <v>0</v>
      </c>
      <c r="N15" s="22">
        <f>0</f>
        <v>0</v>
      </c>
      <c r="O15" s="22">
        <f>0</f>
        <v>0</v>
      </c>
      <c r="P15" s="22">
        <f>0</f>
        <v>0</v>
      </c>
      <c r="Q15" s="22">
        <f>0</f>
        <v>0</v>
      </c>
    </row>
    <row r="16" spans="1:17" ht="20.25" customHeight="1" x14ac:dyDescent="0.2">
      <c r="A16" s="17" t="s">
        <v>47</v>
      </c>
      <c r="B16" s="22">
        <f>69123000</f>
        <v>69123000</v>
      </c>
      <c r="C16" s="22">
        <f>69123000</f>
        <v>69123000</v>
      </c>
      <c r="D16" s="22">
        <f>0</f>
        <v>0</v>
      </c>
      <c r="E16" s="22">
        <f>0</f>
        <v>0</v>
      </c>
      <c r="F16" s="22">
        <f>0</f>
        <v>0</v>
      </c>
      <c r="G16" s="22">
        <f>0</f>
        <v>0</v>
      </c>
      <c r="H16" s="22">
        <f>0</f>
        <v>0</v>
      </c>
      <c r="I16" s="22">
        <f>0</f>
        <v>0</v>
      </c>
      <c r="J16" s="22">
        <f>69123000</f>
        <v>69123000</v>
      </c>
      <c r="K16" s="22">
        <f>0</f>
        <v>0</v>
      </c>
      <c r="L16" s="22">
        <f>0</f>
        <v>0</v>
      </c>
      <c r="M16" s="22">
        <f>0</f>
        <v>0</v>
      </c>
      <c r="N16" s="22">
        <f>0</f>
        <v>0</v>
      </c>
      <c r="O16" s="22">
        <f>0</f>
        <v>0</v>
      </c>
      <c r="P16" s="22">
        <f>0</f>
        <v>0</v>
      </c>
      <c r="Q16" s="22">
        <f>0</f>
        <v>0</v>
      </c>
    </row>
    <row r="17" spans="1:17" ht="24" customHeight="1" x14ac:dyDescent="0.2">
      <c r="A17" s="20" t="s">
        <v>78</v>
      </c>
      <c r="B17" s="21">
        <f>5797419971.72</f>
        <v>5797419971.7200003</v>
      </c>
      <c r="C17" s="21">
        <f>5797419971.72</f>
        <v>5797419971.7200003</v>
      </c>
      <c r="D17" s="21">
        <f>255187964.68</f>
        <v>255187964.68000001</v>
      </c>
      <c r="E17" s="21">
        <f>208016801.84</f>
        <v>208016801.84</v>
      </c>
      <c r="F17" s="21">
        <f>14973952.89</f>
        <v>14973952.890000001</v>
      </c>
      <c r="G17" s="21">
        <f>32197209.95</f>
        <v>32197209.949999999</v>
      </c>
      <c r="H17" s="21">
        <f>0</f>
        <v>0</v>
      </c>
      <c r="I17" s="21">
        <f>0</f>
        <v>0</v>
      </c>
      <c r="J17" s="21">
        <f>5268365512.91</f>
        <v>5268365512.9099998</v>
      </c>
      <c r="K17" s="21">
        <f>267439505.97</f>
        <v>267439505.97</v>
      </c>
      <c r="L17" s="21">
        <f>5414300.3</f>
        <v>5414300.2999999998</v>
      </c>
      <c r="M17" s="21">
        <f>12687.86</f>
        <v>12687.86</v>
      </c>
      <c r="N17" s="21">
        <f>1000000</f>
        <v>1000000</v>
      </c>
      <c r="O17" s="21">
        <f>0</f>
        <v>0</v>
      </c>
      <c r="P17" s="21">
        <f>0</f>
        <v>0</v>
      </c>
      <c r="Q17" s="21">
        <f>0</f>
        <v>0</v>
      </c>
    </row>
    <row r="18" spans="1:17" ht="23.25" customHeight="1" x14ac:dyDescent="0.2">
      <c r="A18" s="17" t="s">
        <v>48</v>
      </c>
      <c r="B18" s="22">
        <f>23775667.99</f>
        <v>23775667.989999998</v>
      </c>
      <c r="C18" s="22">
        <f>23775667.99</f>
        <v>23775667.989999998</v>
      </c>
      <c r="D18" s="22">
        <f>110592</f>
        <v>110592</v>
      </c>
      <c r="E18" s="22">
        <f>0</f>
        <v>0</v>
      </c>
      <c r="F18" s="22">
        <f>110592</f>
        <v>110592</v>
      </c>
      <c r="G18" s="22">
        <f>0</f>
        <v>0</v>
      </c>
      <c r="H18" s="22">
        <f>0</f>
        <v>0</v>
      </c>
      <c r="I18" s="22">
        <f>0</f>
        <v>0</v>
      </c>
      <c r="J18" s="22">
        <f>23473294.09</f>
        <v>23473294.09</v>
      </c>
      <c r="K18" s="22">
        <f>191781.9</f>
        <v>191781.9</v>
      </c>
      <c r="L18" s="22">
        <f>0</f>
        <v>0</v>
      </c>
      <c r="M18" s="22">
        <f>0</f>
        <v>0</v>
      </c>
      <c r="N18" s="22">
        <f>0</f>
        <v>0</v>
      </c>
      <c r="O18" s="22">
        <f>0</f>
        <v>0</v>
      </c>
      <c r="P18" s="22">
        <f>0</f>
        <v>0</v>
      </c>
      <c r="Q18" s="22">
        <f>0</f>
        <v>0</v>
      </c>
    </row>
    <row r="19" spans="1:17" ht="21.75" customHeight="1" x14ac:dyDescent="0.2">
      <c r="A19" s="17" t="s">
        <v>49</v>
      </c>
      <c r="B19" s="22">
        <f>5773644303.73</f>
        <v>5773644303.7299995</v>
      </c>
      <c r="C19" s="22">
        <f>5773644303.73</f>
        <v>5773644303.7299995</v>
      </c>
      <c r="D19" s="22">
        <f>255077372.68</f>
        <v>255077372.68000001</v>
      </c>
      <c r="E19" s="22">
        <f>208016801.84</f>
        <v>208016801.84</v>
      </c>
      <c r="F19" s="22">
        <f>14863360.89</f>
        <v>14863360.890000001</v>
      </c>
      <c r="G19" s="22">
        <f>32197209.95</f>
        <v>32197209.949999999</v>
      </c>
      <c r="H19" s="22">
        <f>0</f>
        <v>0</v>
      </c>
      <c r="I19" s="22">
        <f>0</f>
        <v>0</v>
      </c>
      <c r="J19" s="22">
        <f>5244892218.82</f>
        <v>5244892218.8199997</v>
      </c>
      <c r="K19" s="22">
        <f>267247724.07</f>
        <v>267247724.06999999</v>
      </c>
      <c r="L19" s="22">
        <f>5414300.3</f>
        <v>5414300.2999999998</v>
      </c>
      <c r="M19" s="22">
        <f>12687.86</f>
        <v>12687.86</v>
      </c>
      <c r="N19" s="22">
        <f>1000000</f>
        <v>1000000</v>
      </c>
      <c r="O19" s="22">
        <f>0</f>
        <v>0</v>
      </c>
      <c r="P19" s="22">
        <f>0</f>
        <v>0</v>
      </c>
      <c r="Q19" s="22">
        <f>0</f>
        <v>0</v>
      </c>
    </row>
    <row r="20" spans="1:17" ht="21.75" customHeight="1" x14ac:dyDescent="0.2">
      <c r="A20" s="17" t="s">
        <v>50</v>
      </c>
      <c r="B20" s="22">
        <f>0</f>
        <v>0</v>
      </c>
      <c r="C20" s="22">
        <f>0</f>
        <v>0</v>
      </c>
      <c r="D20" s="22">
        <f>0</f>
        <v>0</v>
      </c>
      <c r="E20" s="22">
        <f>0</f>
        <v>0</v>
      </c>
      <c r="F20" s="22">
        <f>0</f>
        <v>0</v>
      </c>
      <c r="G20" s="22">
        <f>0</f>
        <v>0</v>
      </c>
      <c r="H20" s="22">
        <f>0</f>
        <v>0</v>
      </c>
      <c r="I20" s="22">
        <f>0</f>
        <v>0</v>
      </c>
      <c r="J20" s="22">
        <f>0</f>
        <v>0</v>
      </c>
      <c r="K20" s="22">
        <f>0</f>
        <v>0</v>
      </c>
      <c r="L20" s="22">
        <f>0</f>
        <v>0</v>
      </c>
      <c r="M20" s="22">
        <f>0</f>
        <v>0</v>
      </c>
      <c r="N20" s="22">
        <f>0</f>
        <v>0</v>
      </c>
      <c r="O20" s="22">
        <f>0</f>
        <v>0</v>
      </c>
      <c r="P20" s="22">
        <f>0</f>
        <v>0</v>
      </c>
      <c r="Q20" s="22">
        <f>0</f>
        <v>0</v>
      </c>
    </row>
    <row r="21" spans="1:17" ht="24.75" customHeight="1" x14ac:dyDescent="0.2">
      <c r="A21" s="20" t="s">
        <v>79</v>
      </c>
      <c r="B21" s="21">
        <f>439140.87</f>
        <v>439140.87</v>
      </c>
      <c r="C21" s="21">
        <f>439140.87</f>
        <v>439140.87</v>
      </c>
      <c r="D21" s="21">
        <f>97029.77</f>
        <v>97029.77</v>
      </c>
      <c r="E21" s="21">
        <f>93563.11</f>
        <v>93563.11</v>
      </c>
      <c r="F21" s="21">
        <f>0</f>
        <v>0</v>
      </c>
      <c r="G21" s="21">
        <f>519.36</f>
        <v>519.36</v>
      </c>
      <c r="H21" s="21">
        <f>2947.3</f>
        <v>2947.3</v>
      </c>
      <c r="I21" s="21">
        <f>0</f>
        <v>0</v>
      </c>
      <c r="J21" s="21">
        <f>0</f>
        <v>0</v>
      </c>
      <c r="K21" s="21">
        <f>0</f>
        <v>0</v>
      </c>
      <c r="L21" s="21">
        <f>265483.11</f>
        <v>265483.11</v>
      </c>
      <c r="M21" s="21">
        <f>71622.99</f>
        <v>71622.990000000005</v>
      </c>
      <c r="N21" s="21">
        <f>5005</f>
        <v>5005</v>
      </c>
      <c r="O21" s="21">
        <f>0</f>
        <v>0</v>
      </c>
      <c r="P21" s="21">
        <f>0</f>
        <v>0</v>
      </c>
      <c r="Q21" s="21">
        <f>0</f>
        <v>0</v>
      </c>
    </row>
    <row r="22" spans="1:17" ht="22.5" x14ac:dyDescent="0.2">
      <c r="A22" s="17" t="s">
        <v>51</v>
      </c>
      <c r="B22" s="22">
        <f>148564.98</f>
        <v>148564.98000000001</v>
      </c>
      <c r="C22" s="22">
        <f>148564.98</f>
        <v>148564.98000000001</v>
      </c>
      <c r="D22" s="22">
        <f>0</f>
        <v>0</v>
      </c>
      <c r="E22" s="22">
        <f>0</f>
        <v>0</v>
      </c>
      <c r="F22" s="22">
        <f>0</f>
        <v>0</v>
      </c>
      <c r="G22" s="22">
        <f>0</f>
        <v>0</v>
      </c>
      <c r="H22" s="22">
        <f>0</f>
        <v>0</v>
      </c>
      <c r="I22" s="22">
        <f>0</f>
        <v>0</v>
      </c>
      <c r="J22" s="22">
        <f>0</f>
        <v>0</v>
      </c>
      <c r="K22" s="22">
        <f>0</f>
        <v>0</v>
      </c>
      <c r="L22" s="22">
        <f>145142.31</f>
        <v>145142.31</v>
      </c>
      <c r="M22" s="22">
        <f>3422.67</f>
        <v>3422.67</v>
      </c>
      <c r="N22" s="22">
        <f>0</f>
        <v>0</v>
      </c>
      <c r="O22" s="22">
        <f>0</f>
        <v>0</v>
      </c>
      <c r="P22" s="22">
        <f>0</f>
        <v>0</v>
      </c>
      <c r="Q22" s="22">
        <f>0</f>
        <v>0</v>
      </c>
    </row>
    <row r="23" spans="1:17" ht="23.25" customHeight="1" x14ac:dyDescent="0.2">
      <c r="A23" s="17" t="s">
        <v>52</v>
      </c>
      <c r="B23" s="22">
        <f>290575.89</f>
        <v>290575.89</v>
      </c>
      <c r="C23" s="22">
        <f>290575.89</f>
        <v>290575.89</v>
      </c>
      <c r="D23" s="22">
        <f>97029.77</f>
        <v>97029.77</v>
      </c>
      <c r="E23" s="22">
        <f>93563.11</f>
        <v>93563.11</v>
      </c>
      <c r="F23" s="22">
        <f>0</f>
        <v>0</v>
      </c>
      <c r="G23" s="22">
        <f>519.36</f>
        <v>519.36</v>
      </c>
      <c r="H23" s="22">
        <f>2947.3</f>
        <v>2947.3</v>
      </c>
      <c r="I23" s="22">
        <f>0</f>
        <v>0</v>
      </c>
      <c r="J23" s="22">
        <f>0</f>
        <v>0</v>
      </c>
      <c r="K23" s="22">
        <f>0</f>
        <v>0</v>
      </c>
      <c r="L23" s="22">
        <f>120340.8</f>
        <v>120340.8</v>
      </c>
      <c r="M23" s="22">
        <f>68200.32</f>
        <v>68200.320000000007</v>
      </c>
      <c r="N23" s="22">
        <f>5005</f>
        <v>5005</v>
      </c>
      <c r="O23" s="22">
        <f>0</f>
        <v>0</v>
      </c>
      <c r="P23" s="22">
        <f>0</f>
        <v>0</v>
      </c>
      <c r="Q23" s="22">
        <f>0</f>
        <v>0</v>
      </c>
    </row>
    <row r="24" spans="1:17" ht="19.5" customHeight="1" x14ac:dyDescent="0.2">
      <c r="A24" s="15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ht="19.5" customHeight="1" x14ac:dyDescent="0.2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1:17" ht="19.5" customHeight="1" x14ac:dyDescent="0.2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17" ht="45.75" customHeight="1" x14ac:dyDescent="0.2">
      <c r="A27" s="47" t="str">
        <f>CONCATENATE("Informacja z wykonania budżetów powiatów za   ",$C$90," ",$B$91," roku    ",$B$93,"")</f>
        <v xml:space="preserve">Informacja z wykonania budżetów powiatów za   II Kwartały 2022 roku    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</row>
    <row r="29" spans="1:17" ht="13.5" customHeight="1" x14ac:dyDescent="0.2">
      <c r="A29" s="48" t="s">
        <v>11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</row>
    <row r="31" spans="1:17" ht="13.5" customHeight="1" x14ac:dyDescent="0.2">
      <c r="A31" s="38" t="s">
        <v>0</v>
      </c>
      <c r="B31" s="43" t="s">
        <v>12</v>
      </c>
      <c r="C31" s="44" t="s">
        <v>14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6"/>
      <c r="O31" s="44" t="s">
        <v>24</v>
      </c>
      <c r="P31" s="45"/>
      <c r="Q31" s="46"/>
    </row>
    <row r="32" spans="1:17" ht="13.5" customHeight="1" x14ac:dyDescent="0.2">
      <c r="A32" s="39"/>
      <c r="B32" s="41"/>
      <c r="C32" s="41" t="s">
        <v>13</v>
      </c>
      <c r="D32" s="37" t="s">
        <v>15</v>
      </c>
      <c r="E32" s="37" t="s">
        <v>25</v>
      </c>
      <c r="F32" s="37" t="s">
        <v>26</v>
      </c>
      <c r="G32" s="37" t="s">
        <v>70</v>
      </c>
      <c r="H32" s="37" t="s">
        <v>28</v>
      </c>
      <c r="I32" s="37" t="s">
        <v>1</v>
      </c>
      <c r="J32" s="37" t="s">
        <v>16</v>
      </c>
      <c r="K32" s="37" t="s">
        <v>17</v>
      </c>
      <c r="L32" s="37" t="s">
        <v>18</v>
      </c>
      <c r="M32" s="37" t="s">
        <v>19</v>
      </c>
      <c r="N32" s="85" t="s">
        <v>20</v>
      </c>
      <c r="O32" s="37" t="s">
        <v>21</v>
      </c>
      <c r="P32" s="37" t="s">
        <v>22</v>
      </c>
      <c r="Q32" s="43" t="s">
        <v>23</v>
      </c>
    </row>
    <row r="33" spans="1:17" ht="13.5" customHeight="1" x14ac:dyDescent="0.2">
      <c r="A33" s="39"/>
      <c r="B33" s="41"/>
      <c r="C33" s="41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85"/>
      <c r="O33" s="37"/>
      <c r="P33" s="37"/>
      <c r="Q33" s="41"/>
    </row>
    <row r="34" spans="1:17" ht="11.25" customHeight="1" x14ac:dyDescent="0.2">
      <c r="A34" s="39"/>
      <c r="B34" s="41"/>
      <c r="C34" s="41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85"/>
      <c r="O34" s="37"/>
      <c r="P34" s="37"/>
      <c r="Q34" s="41"/>
    </row>
    <row r="35" spans="1:17" ht="41.25" customHeight="1" x14ac:dyDescent="0.2">
      <c r="A35" s="40"/>
      <c r="B35" s="42"/>
      <c r="C35" s="42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85"/>
      <c r="O35" s="37"/>
      <c r="P35" s="37"/>
      <c r="Q35" s="42"/>
    </row>
    <row r="36" spans="1:17" ht="15.75" customHeight="1" x14ac:dyDescent="0.2">
      <c r="A36" s="13">
        <v>1</v>
      </c>
      <c r="B36" s="13">
        <v>2</v>
      </c>
      <c r="C36" s="13">
        <v>3</v>
      </c>
      <c r="D36" s="13">
        <v>4</v>
      </c>
      <c r="E36" s="13">
        <v>5</v>
      </c>
      <c r="F36" s="13">
        <v>6</v>
      </c>
      <c r="G36" s="13">
        <v>7</v>
      </c>
      <c r="H36" s="13">
        <v>8</v>
      </c>
      <c r="I36" s="13">
        <v>9</v>
      </c>
      <c r="J36" s="13">
        <v>10</v>
      </c>
      <c r="K36" s="13">
        <v>11</v>
      </c>
      <c r="L36" s="13">
        <v>12</v>
      </c>
      <c r="M36" s="13">
        <v>13</v>
      </c>
      <c r="N36" s="13">
        <v>14</v>
      </c>
      <c r="O36" s="13">
        <v>15</v>
      </c>
      <c r="P36" s="13">
        <v>16</v>
      </c>
      <c r="Q36" s="13">
        <v>17</v>
      </c>
    </row>
    <row r="37" spans="1:17" ht="12" customHeight="1" x14ac:dyDescent="0.2">
      <c r="A37" s="13"/>
      <c r="B37" s="27" t="s">
        <v>76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1"/>
    </row>
    <row r="38" spans="1:17" ht="30" customHeight="1" x14ac:dyDescent="0.2">
      <c r="A38" s="25" t="s">
        <v>40</v>
      </c>
      <c r="B38" s="23">
        <f>3750000</f>
        <v>3750000</v>
      </c>
      <c r="C38" s="23">
        <f>3750000</f>
        <v>3750000</v>
      </c>
      <c r="D38" s="23">
        <f>3750000</f>
        <v>3750000</v>
      </c>
      <c r="E38" s="23">
        <f>50000</f>
        <v>50000</v>
      </c>
      <c r="F38" s="23">
        <f>0</f>
        <v>0</v>
      </c>
      <c r="G38" s="23">
        <f>3700000</f>
        <v>3700000</v>
      </c>
      <c r="H38" s="23">
        <f>0</f>
        <v>0</v>
      </c>
      <c r="I38" s="23">
        <f>0</f>
        <v>0</v>
      </c>
      <c r="J38" s="23">
        <f>0</f>
        <v>0</v>
      </c>
      <c r="K38" s="23">
        <f>0</f>
        <v>0</v>
      </c>
      <c r="L38" s="23">
        <f>0</f>
        <v>0</v>
      </c>
      <c r="M38" s="23">
        <f>0</f>
        <v>0</v>
      </c>
      <c r="N38" s="23">
        <f>0</f>
        <v>0</v>
      </c>
      <c r="O38" s="23">
        <f>0</f>
        <v>0</v>
      </c>
      <c r="P38" s="23">
        <f>0</f>
        <v>0</v>
      </c>
      <c r="Q38" s="23">
        <f>0</f>
        <v>0</v>
      </c>
    </row>
    <row r="39" spans="1:17" ht="25.5" customHeight="1" x14ac:dyDescent="0.2">
      <c r="A39" s="18" t="s">
        <v>29</v>
      </c>
      <c r="B39" s="24">
        <f>0</f>
        <v>0</v>
      </c>
      <c r="C39" s="24">
        <f>0</f>
        <v>0</v>
      </c>
      <c r="D39" s="24">
        <f>0</f>
        <v>0</v>
      </c>
      <c r="E39" s="24">
        <f>0</f>
        <v>0</v>
      </c>
      <c r="F39" s="24">
        <f>0</f>
        <v>0</v>
      </c>
      <c r="G39" s="24">
        <f>0</f>
        <v>0</v>
      </c>
      <c r="H39" s="24">
        <f>0</f>
        <v>0</v>
      </c>
      <c r="I39" s="24">
        <f>0</f>
        <v>0</v>
      </c>
      <c r="J39" s="24">
        <f>0</f>
        <v>0</v>
      </c>
      <c r="K39" s="24">
        <f>0</f>
        <v>0</v>
      </c>
      <c r="L39" s="24">
        <f>0</f>
        <v>0</v>
      </c>
      <c r="M39" s="24">
        <f>0</f>
        <v>0</v>
      </c>
      <c r="N39" s="24">
        <f>0</f>
        <v>0</v>
      </c>
      <c r="O39" s="24">
        <f>0</f>
        <v>0</v>
      </c>
      <c r="P39" s="24">
        <f>0</f>
        <v>0</v>
      </c>
      <c r="Q39" s="24">
        <f>0</f>
        <v>0</v>
      </c>
    </row>
    <row r="40" spans="1:17" ht="25.5" customHeight="1" x14ac:dyDescent="0.2">
      <c r="A40" s="18" t="s">
        <v>30</v>
      </c>
      <c r="B40" s="24">
        <f>3750000</f>
        <v>3750000</v>
      </c>
      <c r="C40" s="24">
        <f>3750000</f>
        <v>3750000</v>
      </c>
      <c r="D40" s="24">
        <f>3750000</f>
        <v>3750000</v>
      </c>
      <c r="E40" s="24">
        <f>50000</f>
        <v>50000</v>
      </c>
      <c r="F40" s="24">
        <f>0</f>
        <v>0</v>
      </c>
      <c r="G40" s="24">
        <f>3700000</f>
        <v>3700000</v>
      </c>
      <c r="H40" s="24">
        <f>0</f>
        <v>0</v>
      </c>
      <c r="I40" s="24">
        <f>0</f>
        <v>0</v>
      </c>
      <c r="J40" s="24">
        <f>0</f>
        <v>0</v>
      </c>
      <c r="K40" s="24">
        <f>0</f>
        <v>0</v>
      </c>
      <c r="L40" s="24">
        <f>0</f>
        <v>0</v>
      </c>
      <c r="M40" s="24">
        <f>0</f>
        <v>0</v>
      </c>
      <c r="N40" s="24">
        <f>0</f>
        <v>0</v>
      </c>
      <c r="O40" s="24">
        <f>0</f>
        <v>0</v>
      </c>
      <c r="P40" s="24">
        <f>0</f>
        <v>0</v>
      </c>
      <c r="Q40" s="24">
        <f>0</f>
        <v>0</v>
      </c>
    </row>
    <row r="41" spans="1:17" ht="30" customHeight="1" x14ac:dyDescent="0.2">
      <c r="A41" s="25" t="s">
        <v>41</v>
      </c>
      <c r="B41" s="23">
        <f>162519502.03</f>
        <v>162519502.03</v>
      </c>
      <c r="C41" s="23">
        <f>162519502.03</f>
        <v>162519502.03</v>
      </c>
      <c r="D41" s="23">
        <f>102364703.92</f>
        <v>102364703.92</v>
      </c>
      <c r="E41" s="23">
        <f>111095.49</f>
        <v>111095.49</v>
      </c>
      <c r="F41" s="23">
        <f>3003633.4</f>
        <v>3003633.4</v>
      </c>
      <c r="G41" s="23">
        <f>99249975.03</f>
        <v>99249975.030000001</v>
      </c>
      <c r="H41" s="23">
        <f>0</f>
        <v>0</v>
      </c>
      <c r="I41" s="23">
        <f>0</f>
        <v>0</v>
      </c>
      <c r="J41" s="23">
        <f>0</f>
        <v>0</v>
      </c>
      <c r="K41" s="23">
        <f>0</f>
        <v>0</v>
      </c>
      <c r="L41" s="23">
        <f>42783006.05</f>
        <v>42783006.049999997</v>
      </c>
      <c r="M41" s="23">
        <f>15418675</f>
        <v>15418675</v>
      </c>
      <c r="N41" s="23">
        <f>1953117.06</f>
        <v>1953117.06</v>
      </c>
      <c r="O41" s="23">
        <f>0</f>
        <v>0</v>
      </c>
      <c r="P41" s="23">
        <f>0</f>
        <v>0</v>
      </c>
      <c r="Q41" s="23">
        <f>0</f>
        <v>0</v>
      </c>
    </row>
    <row r="42" spans="1:17" ht="25.5" customHeight="1" x14ac:dyDescent="0.2">
      <c r="A42" s="18" t="s">
        <v>31</v>
      </c>
      <c r="B42" s="24">
        <f>37352341.72</f>
        <v>37352341.719999999</v>
      </c>
      <c r="C42" s="24">
        <f>37352341.72</f>
        <v>37352341.719999999</v>
      </c>
      <c r="D42" s="24">
        <f>24600503.03</f>
        <v>24600503.030000001</v>
      </c>
      <c r="E42" s="24">
        <f>0</f>
        <v>0</v>
      </c>
      <c r="F42" s="24">
        <f>3000000</f>
        <v>3000000</v>
      </c>
      <c r="G42" s="24">
        <f>21600503.03</f>
        <v>21600503.030000001</v>
      </c>
      <c r="H42" s="24">
        <f>0</f>
        <v>0</v>
      </c>
      <c r="I42" s="24">
        <f>0</f>
        <v>0</v>
      </c>
      <c r="J42" s="24">
        <f>0</f>
        <v>0</v>
      </c>
      <c r="K42" s="24">
        <f>0</f>
        <v>0</v>
      </c>
      <c r="L42" s="24">
        <f>9622446.98</f>
        <v>9622446.9800000004</v>
      </c>
      <c r="M42" s="24">
        <f>2461043.23</f>
        <v>2461043.23</v>
      </c>
      <c r="N42" s="24">
        <f>668348.48</f>
        <v>668348.48</v>
      </c>
      <c r="O42" s="24">
        <f>0</f>
        <v>0</v>
      </c>
      <c r="P42" s="24">
        <f>0</f>
        <v>0</v>
      </c>
      <c r="Q42" s="24">
        <f>0</f>
        <v>0</v>
      </c>
    </row>
    <row r="43" spans="1:17" ht="25.5" customHeight="1" x14ac:dyDescent="0.2">
      <c r="A43" s="18" t="s">
        <v>32</v>
      </c>
      <c r="B43" s="24">
        <f>125167160.31</f>
        <v>125167160.31</v>
      </c>
      <c r="C43" s="24">
        <f>125167160.31</f>
        <v>125167160.31</v>
      </c>
      <c r="D43" s="24">
        <f>77764200.89</f>
        <v>77764200.890000001</v>
      </c>
      <c r="E43" s="24">
        <f>111095.49</f>
        <v>111095.49</v>
      </c>
      <c r="F43" s="24">
        <f>3633.4</f>
        <v>3633.4</v>
      </c>
      <c r="G43" s="24">
        <f>77649472</f>
        <v>77649472</v>
      </c>
      <c r="H43" s="24">
        <f>0</f>
        <v>0</v>
      </c>
      <c r="I43" s="24">
        <f>0</f>
        <v>0</v>
      </c>
      <c r="J43" s="24">
        <f>0</f>
        <v>0</v>
      </c>
      <c r="K43" s="24">
        <f>0</f>
        <v>0</v>
      </c>
      <c r="L43" s="24">
        <f>33160559.07</f>
        <v>33160559.07</v>
      </c>
      <c r="M43" s="24">
        <f>12957631.77</f>
        <v>12957631.77</v>
      </c>
      <c r="N43" s="24">
        <f>1284768.58</f>
        <v>1284768.58</v>
      </c>
      <c r="O43" s="24">
        <f>0</f>
        <v>0</v>
      </c>
      <c r="P43" s="24">
        <f>0</f>
        <v>0</v>
      </c>
      <c r="Q43" s="24">
        <f>0</f>
        <v>0</v>
      </c>
    </row>
    <row r="44" spans="1:17" ht="30" customHeight="1" x14ac:dyDescent="0.2">
      <c r="A44" s="25" t="s">
        <v>42</v>
      </c>
      <c r="B44" s="23">
        <f>9080837500.36</f>
        <v>9080837500.3600006</v>
      </c>
      <c r="C44" s="23">
        <f>9080837500.36</f>
        <v>9080837500.3600006</v>
      </c>
      <c r="D44" s="23">
        <f>2508250.36</f>
        <v>2508250.36</v>
      </c>
      <c r="E44" s="23">
        <f>19747.76</f>
        <v>19747.759999999998</v>
      </c>
      <c r="F44" s="23">
        <f>263</f>
        <v>263</v>
      </c>
      <c r="G44" s="23">
        <f>2488239.6</f>
        <v>2488239.6</v>
      </c>
      <c r="H44" s="23">
        <f>0</f>
        <v>0</v>
      </c>
      <c r="I44" s="23">
        <f>5796069.96</f>
        <v>5796069.96</v>
      </c>
      <c r="J44" s="23">
        <f>9072285116.87</f>
        <v>9072285116.8700008</v>
      </c>
      <c r="K44" s="23">
        <f>92673.82</f>
        <v>92673.82</v>
      </c>
      <c r="L44" s="23">
        <f>56105.37</f>
        <v>56105.37</v>
      </c>
      <c r="M44" s="23">
        <f>5000.86</f>
        <v>5000.8599999999997</v>
      </c>
      <c r="N44" s="23">
        <f>94283.12</f>
        <v>94283.12</v>
      </c>
      <c r="O44" s="23">
        <f>0</f>
        <v>0</v>
      </c>
      <c r="P44" s="23">
        <f>0</f>
        <v>0</v>
      </c>
      <c r="Q44" s="23">
        <f>0</f>
        <v>0</v>
      </c>
    </row>
    <row r="45" spans="1:17" ht="25.5" customHeight="1" x14ac:dyDescent="0.2">
      <c r="A45" s="18" t="s">
        <v>33</v>
      </c>
      <c r="B45" s="24">
        <f>2485369.21</f>
        <v>2485369.21</v>
      </c>
      <c r="C45" s="24">
        <f>2485369.21</f>
        <v>2485369.21</v>
      </c>
      <c r="D45" s="24">
        <f>2485369.21</f>
        <v>2485369.21</v>
      </c>
      <c r="E45" s="24">
        <f>0</f>
        <v>0</v>
      </c>
      <c r="F45" s="24">
        <f>0</f>
        <v>0</v>
      </c>
      <c r="G45" s="24">
        <f>2485369.21</f>
        <v>2485369.21</v>
      </c>
      <c r="H45" s="24">
        <f>0</f>
        <v>0</v>
      </c>
      <c r="I45" s="24">
        <f>0</f>
        <v>0</v>
      </c>
      <c r="J45" s="24">
        <f>0</f>
        <v>0</v>
      </c>
      <c r="K45" s="24">
        <f>0</f>
        <v>0</v>
      </c>
      <c r="L45" s="24">
        <f>0</f>
        <v>0</v>
      </c>
      <c r="M45" s="24">
        <f>0</f>
        <v>0</v>
      </c>
      <c r="N45" s="24">
        <f>0</f>
        <v>0</v>
      </c>
      <c r="O45" s="24">
        <f>0</f>
        <v>0</v>
      </c>
      <c r="P45" s="24">
        <f>0</f>
        <v>0</v>
      </c>
      <c r="Q45" s="24">
        <f>0</f>
        <v>0</v>
      </c>
    </row>
    <row r="46" spans="1:17" ht="25.5" customHeight="1" x14ac:dyDescent="0.2">
      <c r="A46" s="18" t="s">
        <v>34</v>
      </c>
      <c r="B46" s="24">
        <f>7886789122.12</f>
        <v>7886789122.1199999</v>
      </c>
      <c r="C46" s="24">
        <f>7886789122.12</f>
        <v>7886789122.1199999</v>
      </c>
      <c r="D46" s="24">
        <f>2608.42</f>
        <v>2608.42</v>
      </c>
      <c r="E46" s="24">
        <f>1212.42</f>
        <v>1212.42</v>
      </c>
      <c r="F46" s="24">
        <f>263</f>
        <v>263</v>
      </c>
      <c r="G46" s="24">
        <f>1133</f>
        <v>1133</v>
      </c>
      <c r="H46" s="24">
        <f>0</f>
        <v>0</v>
      </c>
      <c r="I46" s="24">
        <f>5796069.96</f>
        <v>5796069.96</v>
      </c>
      <c r="J46" s="24">
        <f>7880773369.66</f>
        <v>7880773369.6599998</v>
      </c>
      <c r="K46" s="24">
        <f>88022.12</f>
        <v>88022.12</v>
      </c>
      <c r="L46" s="24">
        <f>31767.98</f>
        <v>31767.98</v>
      </c>
      <c r="M46" s="24">
        <f>3000.86</f>
        <v>3000.86</v>
      </c>
      <c r="N46" s="24">
        <f>94283.12</f>
        <v>94283.12</v>
      </c>
      <c r="O46" s="24">
        <f>0</f>
        <v>0</v>
      </c>
      <c r="P46" s="24">
        <f>0</f>
        <v>0</v>
      </c>
      <c r="Q46" s="24">
        <f>0</f>
        <v>0</v>
      </c>
    </row>
    <row r="47" spans="1:17" ht="25.5" customHeight="1" x14ac:dyDescent="0.2">
      <c r="A47" s="18" t="s">
        <v>35</v>
      </c>
      <c r="B47" s="24">
        <f>1191563009.03</f>
        <v>1191563009.03</v>
      </c>
      <c r="C47" s="24">
        <f>1191563009.03</f>
        <v>1191563009.03</v>
      </c>
      <c r="D47" s="24">
        <f>20272.73</f>
        <v>20272.73</v>
      </c>
      <c r="E47" s="24">
        <f>18535.34</f>
        <v>18535.34</v>
      </c>
      <c r="F47" s="24">
        <f>0</f>
        <v>0</v>
      </c>
      <c r="G47" s="24">
        <f>1737.39</f>
        <v>1737.39</v>
      </c>
      <c r="H47" s="24">
        <f>0</f>
        <v>0</v>
      </c>
      <c r="I47" s="24">
        <f>0</f>
        <v>0</v>
      </c>
      <c r="J47" s="24">
        <f>1191511747.21</f>
        <v>1191511747.21</v>
      </c>
      <c r="K47" s="24">
        <f>4651.7</f>
        <v>4651.7</v>
      </c>
      <c r="L47" s="24">
        <f>24337.39</f>
        <v>24337.39</v>
      </c>
      <c r="M47" s="24">
        <f>2000</f>
        <v>2000</v>
      </c>
      <c r="N47" s="24">
        <f>0</f>
        <v>0</v>
      </c>
      <c r="O47" s="24">
        <f>0</f>
        <v>0</v>
      </c>
      <c r="P47" s="24">
        <f>0</f>
        <v>0</v>
      </c>
      <c r="Q47" s="24">
        <f>0</f>
        <v>0</v>
      </c>
    </row>
    <row r="48" spans="1:17" ht="30" customHeight="1" x14ac:dyDescent="0.2">
      <c r="A48" s="25" t="s">
        <v>43</v>
      </c>
      <c r="B48" s="23">
        <f>710317903.29</f>
        <v>710317903.28999996</v>
      </c>
      <c r="C48" s="23">
        <f>709363111.32</f>
        <v>709363111.32000005</v>
      </c>
      <c r="D48" s="23">
        <f>23992907.76</f>
        <v>23992907.760000002</v>
      </c>
      <c r="E48" s="23">
        <f>5556726.1</f>
        <v>5556726.0999999996</v>
      </c>
      <c r="F48" s="23">
        <f>1008440.85</f>
        <v>1008440.85</v>
      </c>
      <c r="G48" s="23">
        <f>16888973.64</f>
        <v>16888973.640000001</v>
      </c>
      <c r="H48" s="23">
        <f>538767.17</f>
        <v>538767.17000000004</v>
      </c>
      <c r="I48" s="23">
        <f>0</f>
        <v>0</v>
      </c>
      <c r="J48" s="23">
        <f>3382091.09</f>
        <v>3382091.09</v>
      </c>
      <c r="K48" s="23">
        <f>955488.73</f>
        <v>955488.73</v>
      </c>
      <c r="L48" s="23">
        <f>189430127.92</f>
        <v>189430127.91999999</v>
      </c>
      <c r="M48" s="23">
        <f>487169670.6</f>
        <v>487169670.60000002</v>
      </c>
      <c r="N48" s="23">
        <f>4432825.22</f>
        <v>4432825.22</v>
      </c>
      <c r="O48" s="23">
        <f>954791.97</f>
        <v>954791.97</v>
      </c>
      <c r="P48" s="23">
        <f>244436.42</f>
        <v>244436.42</v>
      </c>
      <c r="Q48" s="23">
        <f>710355.55</f>
        <v>710355.55</v>
      </c>
    </row>
    <row r="49" spans="1:17" ht="25.5" customHeight="1" x14ac:dyDescent="0.2">
      <c r="A49" s="18" t="s">
        <v>36</v>
      </c>
      <c r="B49" s="24">
        <f>139860278.1</f>
        <v>139860278.09999999</v>
      </c>
      <c r="C49" s="24">
        <f>139809501.73</f>
        <v>139809501.72999999</v>
      </c>
      <c r="D49" s="24">
        <f>3115481.45</f>
        <v>3115481.45</v>
      </c>
      <c r="E49" s="24">
        <f>240433.54</f>
        <v>240433.54</v>
      </c>
      <c r="F49" s="24">
        <f>165437.62</f>
        <v>165437.62</v>
      </c>
      <c r="G49" s="24">
        <f>2192016.4</f>
        <v>2192016.4</v>
      </c>
      <c r="H49" s="24">
        <f>517593.89</f>
        <v>517593.89</v>
      </c>
      <c r="I49" s="24">
        <f>0</f>
        <v>0</v>
      </c>
      <c r="J49" s="24">
        <f>379256.94</f>
        <v>379256.94</v>
      </c>
      <c r="K49" s="24">
        <f>841895.55</f>
        <v>841895.55</v>
      </c>
      <c r="L49" s="24">
        <f>67805636.37</f>
        <v>67805636.370000005</v>
      </c>
      <c r="M49" s="24">
        <f>66831246.12</f>
        <v>66831246.119999997</v>
      </c>
      <c r="N49" s="24">
        <f>835985.3</f>
        <v>835985.3</v>
      </c>
      <c r="O49" s="24">
        <f>50776.37</f>
        <v>50776.37</v>
      </c>
      <c r="P49" s="24">
        <f>50776.37</f>
        <v>50776.37</v>
      </c>
      <c r="Q49" s="24">
        <f>0</f>
        <v>0</v>
      </c>
    </row>
    <row r="50" spans="1:17" ht="25.5" customHeight="1" x14ac:dyDescent="0.2">
      <c r="A50" s="18" t="s">
        <v>37</v>
      </c>
      <c r="B50" s="24">
        <f>570457625.19</f>
        <v>570457625.19000006</v>
      </c>
      <c r="C50" s="24">
        <f>569553609.59</f>
        <v>569553609.59000003</v>
      </c>
      <c r="D50" s="24">
        <f>20877426.31</f>
        <v>20877426.309999999</v>
      </c>
      <c r="E50" s="24">
        <f>5316292.56</f>
        <v>5316292.5599999996</v>
      </c>
      <c r="F50" s="24">
        <f>843003.23</f>
        <v>843003.23</v>
      </c>
      <c r="G50" s="24">
        <f>14696957.24</f>
        <v>14696957.24</v>
      </c>
      <c r="H50" s="24">
        <f>21173.28</f>
        <v>21173.279999999999</v>
      </c>
      <c r="I50" s="24">
        <f>0</f>
        <v>0</v>
      </c>
      <c r="J50" s="24">
        <f>3002834.15</f>
        <v>3002834.15</v>
      </c>
      <c r="K50" s="24">
        <f>113593.18</f>
        <v>113593.18</v>
      </c>
      <c r="L50" s="24">
        <f>121624491.55</f>
        <v>121624491.55</v>
      </c>
      <c r="M50" s="24">
        <f>420338424.48</f>
        <v>420338424.48000002</v>
      </c>
      <c r="N50" s="24">
        <f>3596839.92</f>
        <v>3596839.92</v>
      </c>
      <c r="O50" s="24">
        <f>904015.6</f>
        <v>904015.6</v>
      </c>
      <c r="P50" s="24">
        <f>193660.05</f>
        <v>193660.05</v>
      </c>
      <c r="Q50" s="24">
        <f>710355.55</f>
        <v>710355.55</v>
      </c>
    </row>
    <row r="51" spans="1:17" ht="30" customHeight="1" x14ac:dyDescent="0.2">
      <c r="A51" s="25" t="s">
        <v>44</v>
      </c>
      <c r="B51" s="23">
        <f>656673956.93</f>
        <v>656673956.92999995</v>
      </c>
      <c r="C51" s="23">
        <f>656521348.94</f>
        <v>656521348.94000006</v>
      </c>
      <c r="D51" s="23">
        <f>222232628.05</f>
        <v>222232628.05000001</v>
      </c>
      <c r="E51" s="23">
        <f>28456775.51</f>
        <v>28456775.510000002</v>
      </c>
      <c r="F51" s="23">
        <f>2461522.93</f>
        <v>2461522.9300000002</v>
      </c>
      <c r="G51" s="23">
        <f>184677854.29</f>
        <v>184677854.28999999</v>
      </c>
      <c r="H51" s="23">
        <f>6636475.32</f>
        <v>6636475.3200000003</v>
      </c>
      <c r="I51" s="23">
        <f>0</f>
        <v>0</v>
      </c>
      <c r="J51" s="23">
        <f>1469374.82</f>
        <v>1469374.82</v>
      </c>
      <c r="K51" s="23">
        <f>7391957.29</f>
        <v>7391957.29</v>
      </c>
      <c r="L51" s="23">
        <f>337512988.62</f>
        <v>337512988.62</v>
      </c>
      <c r="M51" s="23">
        <f>83134261.65</f>
        <v>83134261.650000006</v>
      </c>
      <c r="N51" s="23">
        <f>4780138.51</f>
        <v>4780138.51</v>
      </c>
      <c r="O51" s="23">
        <f>152607.99</f>
        <v>152607.99</v>
      </c>
      <c r="P51" s="23">
        <f>137213.99</f>
        <v>137213.99</v>
      </c>
      <c r="Q51" s="23">
        <f>15394</f>
        <v>15394</v>
      </c>
    </row>
    <row r="52" spans="1:17" ht="31.5" customHeight="1" x14ac:dyDescent="0.2">
      <c r="A52" s="18" t="s">
        <v>38</v>
      </c>
      <c r="B52" s="24">
        <f>85200616.69</f>
        <v>85200616.689999998</v>
      </c>
      <c r="C52" s="24">
        <f>85067507.5</f>
        <v>85067507.5</v>
      </c>
      <c r="D52" s="24">
        <f>34166881.48</f>
        <v>34166881.479999997</v>
      </c>
      <c r="E52" s="24">
        <f>2176167</f>
        <v>2176167</v>
      </c>
      <c r="F52" s="24">
        <f>194652.68</f>
        <v>194652.68</v>
      </c>
      <c r="G52" s="24">
        <f>29417906.04</f>
        <v>29417906.039999999</v>
      </c>
      <c r="H52" s="24">
        <f>2378155.76</f>
        <v>2378155.7599999998</v>
      </c>
      <c r="I52" s="24">
        <f>0</f>
        <v>0</v>
      </c>
      <c r="J52" s="24">
        <f>1230413.33</f>
        <v>1230413.33</v>
      </c>
      <c r="K52" s="24">
        <f>234853.82</f>
        <v>234853.82</v>
      </c>
      <c r="L52" s="24">
        <f>28308031.36</f>
        <v>28308031.359999999</v>
      </c>
      <c r="M52" s="24">
        <f>19365619.31</f>
        <v>19365619.309999999</v>
      </c>
      <c r="N52" s="24">
        <f>1761708.2</f>
        <v>1761708.2</v>
      </c>
      <c r="O52" s="24">
        <f>133109.19</f>
        <v>133109.19</v>
      </c>
      <c r="P52" s="24">
        <f>118215.19</f>
        <v>118215.19</v>
      </c>
      <c r="Q52" s="24">
        <f>14894</f>
        <v>14894</v>
      </c>
    </row>
    <row r="53" spans="1:17" ht="35.25" customHeight="1" x14ac:dyDescent="0.2">
      <c r="A53" s="18" t="s">
        <v>80</v>
      </c>
      <c r="B53" s="24">
        <f>4543247.12</f>
        <v>4543247.12</v>
      </c>
      <c r="C53" s="24">
        <f>4543247.12</f>
        <v>4543247.12</v>
      </c>
      <c r="D53" s="24">
        <f>4516918.07</f>
        <v>4516918.07</v>
      </c>
      <c r="E53" s="24">
        <f>4253706.02</f>
        <v>4253706.0199999996</v>
      </c>
      <c r="F53" s="24">
        <f>0</f>
        <v>0</v>
      </c>
      <c r="G53" s="24">
        <f>40383.03</f>
        <v>40383.03</v>
      </c>
      <c r="H53" s="24">
        <f>222829.02</f>
        <v>222829.02</v>
      </c>
      <c r="I53" s="24">
        <f>0</f>
        <v>0</v>
      </c>
      <c r="J53" s="24">
        <f>0</f>
        <v>0</v>
      </c>
      <c r="K53" s="24">
        <f>143.75</f>
        <v>143.75</v>
      </c>
      <c r="L53" s="24">
        <f>2254.79</f>
        <v>2254.79</v>
      </c>
      <c r="M53" s="24">
        <f>16431.06</f>
        <v>16431.060000000001</v>
      </c>
      <c r="N53" s="24">
        <f>7499.45</f>
        <v>7499.45</v>
      </c>
      <c r="O53" s="24">
        <f>0</f>
        <v>0</v>
      </c>
      <c r="P53" s="24">
        <f>0</f>
        <v>0</v>
      </c>
      <c r="Q53" s="24">
        <f>0</f>
        <v>0</v>
      </c>
    </row>
    <row r="54" spans="1:17" ht="31.5" customHeight="1" x14ac:dyDescent="0.2">
      <c r="A54" s="18" t="s">
        <v>39</v>
      </c>
      <c r="B54" s="24">
        <f>566930093.12</f>
        <v>566930093.12</v>
      </c>
      <c r="C54" s="24">
        <f>566910594.32</f>
        <v>566910594.32000005</v>
      </c>
      <c r="D54" s="24">
        <f>183548828.5</f>
        <v>183548828.5</v>
      </c>
      <c r="E54" s="24">
        <f>22026902.49</f>
        <v>22026902.489999998</v>
      </c>
      <c r="F54" s="24">
        <f>2266870.25</f>
        <v>2266870.25</v>
      </c>
      <c r="G54" s="24">
        <f>155219565.22</f>
        <v>155219565.22</v>
      </c>
      <c r="H54" s="24">
        <f>4035490.54</f>
        <v>4035490.54</v>
      </c>
      <c r="I54" s="24">
        <f>0</f>
        <v>0</v>
      </c>
      <c r="J54" s="24">
        <f>238961.49</f>
        <v>238961.49</v>
      </c>
      <c r="K54" s="24">
        <f>7156959.72</f>
        <v>7156959.7199999997</v>
      </c>
      <c r="L54" s="24">
        <f>309202702.47</f>
        <v>309202702.47000003</v>
      </c>
      <c r="M54" s="24">
        <f>63752211.28</f>
        <v>63752211.280000001</v>
      </c>
      <c r="N54" s="24">
        <f>3010930.86</f>
        <v>3010930.86</v>
      </c>
      <c r="O54" s="24">
        <f>19498.8</f>
        <v>19498.8</v>
      </c>
      <c r="P54" s="24">
        <f>18998.8</f>
        <v>18998.8</v>
      </c>
      <c r="Q54" s="24">
        <f>500</f>
        <v>500</v>
      </c>
    </row>
    <row r="63" spans="1:17" ht="66" customHeight="1" x14ac:dyDescent="0.2">
      <c r="A63" s="47" t="str">
        <f>CONCATENATE("Informacja z wykonania budżetów powiatów za   ",$C$90," ",$B$91," roku    ",$B$93,"")</f>
        <v xml:space="preserve">Informacja z wykonania budżetów powiatów za   II Kwartały 2022 roku    </v>
      </c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</row>
    <row r="64" spans="1:17" ht="13.5" customHeight="1" x14ac:dyDescent="0.2">
      <c r="B64" s="48" t="s">
        <v>2</v>
      </c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</row>
    <row r="66" spans="2:12" ht="13.5" customHeight="1" x14ac:dyDescent="0.2">
      <c r="B66" s="76" t="s">
        <v>0</v>
      </c>
      <c r="C66" s="77"/>
      <c r="D66" s="77"/>
      <c r="E66" s="78"/>
      <c r="F66" s="56" t="s">
        <v>68</v>
      </c>
      <c r="G66" s="33" t="s">
        <v>74</v>
      </c>
      <c r="H66" s="60"/>
      <c r="I66" s="60"/>
      <c r="J66" s="60"/>
      <c r="K66" s="60"/>
      <c r="L66" s="61"/>
    </row>
    <row r="67" spans="2:12" ht="13.5" customHeight="1" x14ac:dyDescent="0.2">
      <c r="B67" s="79"/>
      <c r="C67" s="80"/>
      <c r="D67" s="80"/>
      <c r="E67" s="81"/>
      <c r="F67" s="57"/>
      <c r="G67" s="59" t="s">
        <v>69</v>
      </c>
      <c r="H67" s="32" t="s">
        <v>66</v>
      </c>
      <c r="I67" s="32" t="s">
        <v>67</v>
      </c>
      <c r="J67" s="32" t="s">
        <v>70</v>
      </c>
      <c r="K67" s="32" t="s">
        <v>71</v>
      </c>
      <c r="L67" s="36" t="s">
        <v>72</v>
      </c>
    </row>
    <row r="68" spans="2:12" ht="13.5" customHeight="1" x14ac:dyDescent="0.2">
      <c r="B68" s="79"/>
      <c r="C68" s="80"/>
      <c r="D68" s="80"/>
      <c r="E68" s="81"/>
      <c r="F68" s="57"/>
      <c r="G68" s="59"/>
      <c r="H68" s="32"/>
      <c r="I68" s="32"/>
      <c r="J68" s="32"/>
      <c r="K68" s="32"/>
      <c r="L68" s="36"/>
    </row>
    <row r="69" spans="2:12" ht="11.25" customHeight="1" x14ac:dyDescent="0.2">
      <c r="B69" s="79"/>
      <c r="C69" s="80"/>
      <c r="D69" s="80"/>
      <c r="E69" s="81"/>
      <c r="F69" s="57"/>
      <c r="G69" s="59"/>
      <c r="H69" s="32"/>
      <c r="I69" s="32"/>
      <c r="J69" s="32"/>
      <c r="K69" s="32"/>
      <c r="L69" s="36"/>
    </row>
    <row r="70" spans="2:12" ht="11.25" customHeight="1" x14ac:dyDescent="0.2">
      <c r="B70" s="82"/>
      <c r="C70" s="83"/>
      <c r="D70" s="83"/>
      <c r="E70" s="84"/>
      <c r="F70" s="58"/>
      <c r="G70" s="59"/>
      <c r="H70" s="32"/>
      <c r="I70" s="32"/>
      <c r="J70" s="32"/>
      <c r="K70" s="32"/>
      <c r="L70" s="36"/>
    </row>
    <row r="71" spans="2:12" ht="11.25" customHeight="1" x14ac:dyDescent="0.2">
      <c r="B71" s="32">
        <v>1</v>
      </c>
      <c r="C71" s="32"/>
      <c r="D71" s="32"/>
      <c r="E71" s="32"/>
      <c r="F71" s="3">
        <v>2</v>
      </c>
      <c r="G71" s="3">
        <v>3</v>
      </c>
      <c r="H71" s="3">
        <v>4</v>
      </c>
      <c r="I71" s="3">
        <v>5</v>
      </c>
      <c r="J71" s="3">
        <v>6</v>
      </c>
      <c r="K71" s="3">
        <v>7</v>
      </c>
      <c r="L71" s="3">
        <v>8</v>
      </c>
    </row>
    <row r="72" spans="2:12" ht="12.75" customHeight="1" x14ac:dyDescent="0.2">
      <c r="B72" s="32"/>
      <c r="C72" s="32"/>
      <c r="D72" s="32"/>
      <c r="E72" s="32"/>
      <c r="F72" s="33" t="s">
        <v>76</v>
      </c>
      <c r="G72" s="34"/>
      <c r="H72" s="34"/>
      <c r="I72" s="34"/>
      <c r="J72" s="34"/>
      <c r="K72" s="34"/>
      <c r="L72" s="35"/>
    </row>
    <row r="73" spans="2:12" ht="33.75" customHeight="1" x14ac:dyDescent="0.2">
      <c r="B73" s="53" t="s">
        <v>53</v>
      </c>
      <c r="C73" s="54"/>
      <c r="D73" s="54"/>
      <c r="E73" s="55"/>
      <c r="F73" s="26">
        <f>551851277.69</f>
        <v>551851277.69000006</v>
      </c>
      <c r="G73" s="26">
        <f>298414691.58</f>
        <v>298414691.57999998</v>
      </c>
      <c r="H73" s="26">
        <f>13911793.81</f>
        <v>13911793.810000001</v>
      </c>
      <c r="I73" s="26">
        <f>35666085</f>
        <v>35666085</v>
      </c>
      <c r="J73" s="26">
        <f>244030633.43</f>
        <v>244030633.43000001</v>
      </c>
      <c r="K73" s="26">
        <f>4806179.34</f>
        <v>4806179.34</v>
      </c>
      <c r="L73" s="26">
        <f>253436586.11</f>
        <v>253436586.11000001</v>
      </c>
    </row>
    <row r="74" spans="2:12" ht="33.75" customHeight="1" x14ac:dyDescent="0.2">
      <c r="B74" s="53" t="s">
        <v>54</v>
      </c>
      <c r="C74" s="54"/>
      <c r="D74" s="54"/>
      <c r="E74" s="55"/>
      <c r="F74" s="26">
        <f>8213055</f>
        <v>8213055</v>
      </c>
      <c r="G74" s="26">
        <f>8213055</f>
        <v>8213055</v>
      </c>
      <c r="H74" s="26">
        <f>0</f>
        <v>0</v>
      </c>
      <c r="I74" s="26">
        <f>0</f>
        <v>0</v>
      </c>
      <c r="J74" s="26">
        <f>8213055</f>
        <v>8213055</v>
      </c>
      <c r="K74" s="26">
        <f>0</f>
        <v>0</v>
      </c>
      <c r="L74" s="26">
        <f>0</f>
        <v>0</v>
      </c>
    </row>
    <row r="75" spans="2:12" ht="33.75" customHeight="1" x14ac:dyDescent="0.2">
      <c r="B75" s="53" t="s">
        <v>55</v>
      </c>
      <c r="C75" s="54"/>
      <c r="D75" s="54"/>
      <c r="E75" s="55"/>
      <c r="F75" s="26">
        <f>10181455.3</f>
        <v>10181455.300000001</v>
      </c>
      <c r="G75" s="26">
        <f>5406672</f>
        <v>5406672</v>
      </c>
      <c r="H75" s="26">
        <f>0</f>
        <v>0</v>
      </c>
      <c r="I75" s="26">
        <f>0</f>
        <v>0</v>
      </c>
      <c r="J75" s="26">
        <f>5406672</f>
        <v>5406672</v>
      </c>
      <c r="K75" s="26">
        <f>0</f>
        <v>0</v>
      </c>
      <c r="L75" s="26">
        <f>4774783.3</f>
        <v>4774783.3</v>
      </c>
    </row>
    <row r="76" spans="2:12" ht="22.5" customHeight="1" x14ac:dyDescent="0.2">
      <c r="B76" s="53" t="s">
        <v>56</v>
      </c>
      <c r="C76" s="54"/>
      <c r="D76" s="54"/>
      <c r="E76" s="55"/>
      <c r="F76" s="26">
        <f>45900309.59</f>
        <v>45900309.590000004</v>
      </c>
      <c r="G76" s="26">
        <f>19137064.52</f>
        <v>19137064.52</v>
      </c>
      <c r="H76" s="26">
        <f>0</f>
        <v>0</v>
      </c>
      <c r="I76" s="26">
        <f>0</f>
        <v>0</v>
      </c>
      <c r="J76" s="26">
        <f>19137064.52</f>
        <v>19137064.52</v>
      </c>
      <c r="K76" s="26">
        <f>0</f>
        <v>0</v>
      </c>
      <c r="L76" s="26">
        <f>26763245.07</f>
        <v>26763245.07</v>
      </c>
    </row>
    <row r="77" spans="2:12" ht="33.75" customHeight="1" x14ac:dyDescent="0.2">
      <c r="B77" s="53" t="s">
        <v>57</v>
      </c>
      <c r="C77" s="54"/>
      <c r="D77" s="54"/>
      <c r="E77" s="55"/>
      <c r="F77" s="26">
        <f>12081852.1</f>
        <v>12081852.1</v>
      </c>
      <c r="G77" s="26">
        <f>11628240.83</f>
        <v>11628240.83</v>
      </c>
      <c r="H77" s="26">
        <f>0</f>
        <v>0</v>
      </c>
      <c r="I77" s="26">
        <f>0</f>
        <v>0</v>
      </c>
      <c r="J77" s="26">
        <f>11628240.83</f>
        <v>11628240.83</v>
      </c>
      <c r="K77" s="26">
        <f>0</f>
        <v>0</v>
      </c>
      <c r="L77" s="26">
        <f>453611.27</f>
        <v>453611.27</v>
      </c>
    </row>
    <row r="78" spans="2:12" ht="33.75" customHeight="1" x14ac:dyDescent="0.2">
      <c r="B78" s="53" t="s">
        <v>58</v>
      </c>
      <c r="C78" s="54"/>
      <c r="D78" s="54"/>
      <c r="E78" s="55"/>
      <c r="F78" s="26">
        <f>1390654.26</f>
        <v>1390654.26</v>
      </c>
      <c r="G78" s="26">
        <f>1027499.84</f>
        <v>1027499.84</v>
      </c>
      <c r="H78" s="26">
        <f>0</f>
        <v>0</v>
      </c>
      <c r="I78" s="26">
        <f>0</f>
        <v>0</v>
      </c>
      <c r="J78" s="26">
        <f>1027499.84</f>
        <v>1027499.84</v>
      </c>
      <c r="K78" s="26">
        <f>0</f>
        <v>0</v>
      </c>
      <c r="L78" s="26">
        <f>363154.42</f>
        <v>363154.42</v>
      </c>
    </row>
    <row r="79" spans="2:12" ht="22.5" customHeight="1" x14ac:dyDescent="0.2">
      <c r="B79" s="53" t="s">
        <v>59</v>
      </c>
      <c r="C79" s="54"/>
      <c r="D79" s="54"/>
      <c r="E79" s="55"/>
      <c r="F79" s="26">
        <f>0</f>
        <v>0</v>
      </c>
      <c r="G79" s="26">
        <f>0</f>
        <v>0</v>
      </c>
      <c r="H79" s="26">
        <f>0</f>
        <v>0</v>
      </c>
      <c r="I79" s="26">
        <f>0</f>
        <v>0</v>
      </c>
      <c r="J79" s="26">
        <f>0</f>
        <v>0</v>
      </c>
      <c r="K79" s="26">
        <f>0</f>
        <v>0</v>
      </c>
      <c r="L79" s="26">
        <f>0</f>
        <v>0</v>
      </c>
    </row>
    <row r="82" spans="1:13" ht="75" customHeight="1" x14ac:dyDescent="0.2">
      <c r="A82" s="47" t="str">
        <f>CONCATENATE("Informacja z wykonania budżetów powiatów za   ",$C$90," ",$B$91," roku    ",$B$93,"")</f>
        <v xml:space="preserve">Informacja z wykonania budżetów powiatów za   II Kwartały 2022 roku    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</row>
    <row r="83" spans="1:13" ht="13.5" customHeight="1" x14ac:dyDescent="0.2">
      <c r="B83" s="4"/>
    </row>
    <row r="84" spans="1:13" ht="13.5" customHeight="1" x14ac:dyDescent="0.2">
      <c r="B84" s="5"/>
      <c r="C84" s="33"/>
      <c r="D84" s="60"/>
      <c r="E84" s="60"/>
      <c r="F84" s="61"/>
      <c r="G84" s="33" t="s">
        <v>3</v>
      </c>
      <c r="H84" s="61"/>
      <c r="I84" s="33" t="s">
        <v>4</v>
      </c>
      <c r="J84" s="61"/>
      <c r="K84" s="5"/>
    </row>
    <row r="85" spans="1:13" ht="13.5" customHeight="1" x14ac:dyDescent="0.2">
      <c r="B85" s="6"/>
      <c r="C85" s="66" t="s">
        <v>5</v>
      </c>
      <c r="D85" s="67"/>
      <c r="E85" s="67"/>
      <c r="F85" s="68"/>
      <c r="G85" s="62">
        <f>272</f>
        <v>272</v>
      </c>
      <c r="H85" s="63"/>
      <c r="I85" s="64">
        <f>1856292051.18</f>
        <v>1856292051.1800001</v>
      </c>
      <c r="J85" s="65"/>
      <c r="K85" s="7"/>
    </row>
    <row r="86" spans="1:13" ht="13.5" customHeight="1" x14ac:dyDescent="0.2">
      <c r="B86" s="6"/>
      <c r="C86" s="69" t="s">
        <v>6</v>
      </c>
      <c r="D86" s="70"/>
      <c r="E86" s="70"/>
      <c r="F86" s="71"/>
      <c r="G86" s="72">
        <f>42</f>
        <v>42</v>
      </c>
      <c r="H86" s="73"/>
      <c r="I86" s="74">
        <f>-85228931.38</f>
        <v>-85228931.379999995</v>
      </c>
      <c r="J86" s="75"/>
      <c r="K86" s="7"/>
    </row>
    <row r="87" spans="1:13" ht="13.5" customHeight="1" x14ac:dyDescent="0.2">
      <c r="B87" s="6"/>
      <c r="C87" s="66" t="s">
        <v>7</v>
      </c>
      <c r="D87" s="67"/>
      <c r="E87" s="67"/>
      <c r="F87" s="68"/>
      <c r="G87" s="62">
        <f>0</f>
        <v>0</v>
      </c>
      <c r="H87" s="63"/>
      <c r="I87" s="64">
        <f>0</f>
        <v>0</v>
      </c>
      <c r="J87" s="65"/>
      <c r="K87" s="7"/>
    </row>
    <row r="90" spans="1:13" ht="13.5" customHeight="1" x14ac:dyDescent="0.2">
      <c r="A90" s="8" t="s">
        <v>8</v>
      </c>
      <c r="B90" s="8">
        <f>2</f>
        <v>2</v>
      </c>
      <c r="C90" s="8" t="str">
        <f>IF(B90=1,"I Kwartał",IF(B90=2,"II Kwartały",IF(B90=3,"III Kwartały",IF(B90=4,"IV Kwartały","-"))))</f>
        <v>II Kwartały</v>
      </c>
    </row>
    <row r="91" spans="1:13" ht="13.5" customHeight="1" x14ac:dyDescent="0.2">
      <c r="A91" s="8" t="s">
        <v>9</v>
      </c>
      <c r="B91" s="8">
        <f>2022</f>
        <v>2022</v>
      </c>
      <c r="C91" s="9"/>
    </row>
    <row r="92" spans="1:13" ht="13.5" customHeight="1" x14ac:dyDescent="0.2">
      <c r="A92" s="8" t="s">
        <v>10</v>
      </c>
      <c r="B92" s="10" t="str">
        <f>"Aug 18 2022 12:00AM"</f>
        <v>Aug 18 2022 12:00AM</v>
      </c>
      <c r="C92" s="9"/>
    </row>
    <row r="93" spans="1:13" ht="13.5" customHeight="1" x14ac:dyDescent="0.2">
      <c r="A93" s="14" t="s">
        <v>75</v>
      </c>
      <c r="B93" s="10" t="str">
        <f>""</f>
        <v/>
      </c>
    </row>
  </sheetData>
  <mergeCells count="79">
    <mergeCell ref="O6:Q6"/>
    <mergeCell ref="O7:O10"/>
    <mergeCell ref="A63:M63"/>
    <mergeCell ref="L32:L35"/>
    <mergeCell ref="P32:P35"/>
    <mergeCell ref="Q32:Q35"/>
    <mergeCell ref="N32:N35"/>
    <mergeCell ref="O32:O35"/>
    <mergeCell ref="D32:D35"/>
    <mergeCell ref="H7:H10"/>
    <mergeCell ref="B78:E78"/>
    <mergeCell ref="I85:J85"/>
    <mergeCell ref="B64:M64"/>
    <mergeCell ref="I84:J84"/>
    <mergeCell ref="B72:E72"/>
    <mergeCell ref="B66:E70"/>
    <mergeCell ref="B79:E79"/>
    <mergeCell ref="A82:M82"/>
    <mergeCell ref="B75:E75"/>
    <mergeCell ref="B76:E76"/>
    <mergeCell ref="G87:H87"/>
    <mergeCell ref="I87:J87"/>
    <mergeCell ref="C84:F84"/>
    <mergeCell ref="C85:F85"/>
    <mergeCell ref="C86:F86"/>
    <mergeCell ref="C87:F87"/>
    <mergeCell ref="G85:H85"/>
    <mergeCell ref="G84:H84"/>
    <mergeCell ref="G86:H86"/>
    <mergeCell ref="I86:J86"/>
    <mergeCell ref="B77:E77"/>
    <mergeCell ref="B74:E74"/>
    <mergeCell ref="M32:M35"/>
    <mergeCell ref="B73:E73"/>
    <mergeCell ref="F66:F70"/>
    <mergeCell ref="G67:G70"/>
    <mergeCell ref="G66:L66"/>
    <mergeCell ref="A1:M1"/>
    <mergeCell ref="C5:M5"/>
    <mergeCell ref="A3:M3"/>
    <mergeCell ref="K7:K10"/>
    <mergeCell ref="C7:C10"/>
    <mergeCell ref="B6:B10"/>
    <mergeCell ref="A6:A10"/>
    <mergeCell ref="C6:N6"/>
    <mergeCell ref="D7:D10"/>
    <mergeCell ref="E7:E10"/>
    <mergeCell ref="Q7:Q10"/>
    <mergeCell ref="C31:N31"/>
    <mergeCell ref="L7:L10"/>
    <mergeCell ref="M7:M10"/>
    <mergeCell ref="N7:N10"/>
    <mergeCell ref="P7:P10"/>
    <mergeCell ref="A27:M27"/>
    <mergeCell ref="O31:Q31"/>
    <mergeCell ref="A29:M29"/>
    <mergeCell ref="G7:G10"/>
    <mergeCell ref="F7:F10"/>
    <mergeCell ref="I7:I10"/>
    <mergeCell ref="J7:J10"/>
    <mergeCell ref="A31:A35"/>
    <mergeCell ref="C32:C35"/>
    <mergeCell ref="E32:E35"/>
    <mergeCell ref="B31:B35"/>
    <mergeCell ref="K67:K70"/>
    <mergeCell ref="H67:H70"/>
    <mergeCell ref="I67:I70"/>
    <mergeCell ref="J67:J70"/>
    <mergeCell ref="B12:Q12"/>
    <mergeCell ref="B37:Q37"/>
    <mergeCell ref="B71:E71"/>
    <mergeCell ref="F72:L72"/>
    <mergeCell ref="L67:L70"/>
    <mergeCell ref="F32:F35"/>
    <mergeCell ref="G32:G35"/>
    <mergeCell ref="H32:H35"/>
    <mergeCell ref="K32:K35"/>
    <mergeCell ref="I32:I35"/>
    <mergeCell ref="J32:J35"/>
  </mergeCells>
  <phoneticPr fontId="4" type="noConversion"/>
  <pageMargins left="0.19685039370078741" right="0.19685039370078741" top="0.19685039370078741" bottom="0.19685039370078741" header="0" footer="0"/>
  <pageSetup paperSize="9" scale="69" orientation="landscape" useFirstPageNumber="1" horizontalDpi="300" verticalDpi="300" r:id="rId1"/>
  <headerFooter alignWithMargins="0">
    <oddFooter>&amp;L&amp;D&amp;Rstrona &amp;P z 3</oddFooter>
  </headerFooter>
  <rowBreaks count="2" manualBreakCount="2">
    <brk id="26" max="16383" man="1"/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zob_nal</vt:lpstr>
    </vt:vector>
  </TitlesOfParts>
  <Company>Min. Fin.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2009-11-20T13:10:55Z</cp:lastPrinted>
  <dcterms:created xsi:type="dcterms:W3CDTF">2001-05-17T08:58:03Z</dcterms:created>
  <dcterms:modified xsi:type="dcterms:W3CDTF">2022-08-19T13:38:59Z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MF\hhcy;Kołacz Bernard</vt:lpwstr>
  </property>
  <property fmtid="{D5CDD505-2E9C-101B-9397-08002B2CF9AE}" pid="4" name="MFClassificationDate">
    <vt:lpwstr>2022-08-19T15:38:56.0919168+02:00</vt:lpwstr>
  </property>
  <property fmtid="{D5CDD505-2E9C-101B-9397-08002B2CF9AE}" pid="5" name="MFClassifiedBySID">
    <vt:lpwstr>MF\S-1-5-21-1525952054-1005573771-2909822258-435687</vt:lpwstr>
  </property>
  <property fmtid="{D5CDD505-2E9C-101B-9397-08002B2CF9AE}" pid="6" name="MFGRNItemId">
    <vt:lpwstr>GRN-424986f6-12ae-4906-b1c2-a3721cc25a42</vt:lpwstr>
  </property>
  <property fmtid="{D5CDD505-2E9C-101B-9397-08002B2CF9AE}" pid="7" name="MFHash">
    <vt:lpwstr>baOL5fqIuaSTA2052n6cSgZ9rBtmePBxST5/B2m7daI=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