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  <sheet name="definicja" sheetId="2" r:id="rId2"/>
  </sheets>
  <definedNames>
    <definedName name="_xlnm.Print_Area" localSheetId="0">'doch_wyd'!$A$1:$M$122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7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<sst xmlns="http://schemas.openxmlformats.org/spreadsheetml/2006/main" count="852" uniqueCount="439">
  <si>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</si>
  <si>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</si>
  <si>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</si>
  <si>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</si>
  <si>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</si>
  <si>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</si>
  <si>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</si>
  <si>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</si>
  <si>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</si>
  <si>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</si>
  <si>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</si>
  <si>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</si>
  <si>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</si>
  <si>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</si>
  <si>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</si>
  <si>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</si>
  <si>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</si>
  <si>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</si>
  <si>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</si>
  <si>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</si>
  <si>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</si>
  <si>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</si>
  <si>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</si>
  <si>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</si>
  <si>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</si>
  <si>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</si>
  <si>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</si>
  <si>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</si>
  <si>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</si>
  <si>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</si>
  <si>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</si>
  <si>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</si>
  <si>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</si>
  <si>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</si>
  <si>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</si>
  <si>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</si>
  <si>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</si>
  <si>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</si>
  <si>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</si>
  <si>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</si>
  <si>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Zobowiązania wg stanu na koniec 
okresu sprawozdawczego</t>
  </si>
  <si>
    <t>w tym:   wydatki na inwestycje</t>
  </si>
  <si>
    <t xml:space="preserve">wydatki majątkowe      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</si>
  <si>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</si>
  <si>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</si>
  <si>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</si>
  <si>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</si>
  <si>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</si>
  <si>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</si>
  <si>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</si>
  <si>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</si>
  <si>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</si>
  <si>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</si>
  <si>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</t>
  </si>
  <si>
    <t xml:space="preserve">WYNIK  </t>
  </si>
  <si>
    <t>Wyszczególnienie</t>
  </si>
  <si>
    <t>Plan (po zmianach)</t>
  </si>
  <si>
    <t>D1</t>
  </si>
  <si>
    <t>D11</t>
  </si>
  <si>
    <t>D12</t>
  </si>
  <si>
    <t>D13</t>
  </si>
  <si>
    <t>D14</t>
  </si>
  <si>
    <t>D15</t>
  </si>
  <si>
    <t>D16</t>
  </si>
  <si>
    <t>D2</t>
  </si>
  <si>
    <t>D21</t>
  </si>
  <si>
    <t>D22</t>
  </si>
  <si>
    <t>Wskaźnik 
(3:2)</t>
  </si>
  <si>
    <t>A28</t>
  </si>
  <si>
    <t>A29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</si>
  <si>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</si>
  <si>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</si>
  <si>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</si>
  <si>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</si>
  <si>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</si>
  <si>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</si>
  <si>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A1/A</t>
  </si>
  <si>
    <t>A2/A</t>
  </si>
  <si>
    <t>A3/A</t>
  </si>
  <si>
    <t>A4/A</t>
  </si>
  <si>
    <t>A5/A</t>
  </si>
  <si>
    <t>A6/A</t>
  </si>
  <si>
    <t>A7/A</t>
  </si>
  <si>
    <t>A8/A</t>
  </si>
  <si>
    <t>A9/A</t>
  </si>
  <si>
    <t>A10/A</t>
  </si>
  <si>
    <t>A11/A</t>
  </si>
  <si>
    <t>A12/A</t>
  </si>
  <si>
    <t>A13/A</t>
  </si>
  <si>
    <t>A14/A</t>
  </si>
  <si>
    <t>A15/A</t>
  </si>
  <si>
    <t>A16/A</t>
  </si>
  <si>
    <t>A17/A</t>
  </si>
  <si>
    <t>A18/A</t>
  </si>
  <si>
    <t>A19/A</t>
  </si>
  <si>
    <t>A20/A</t>
  </si>
  <si>
    <t>A21/A</t>
  </si>
  <si>
    <t>A22/A</t>
  </si>
  <si>
    <t>A23/A</t>
  </si>
  <si>
    <t>A24/A</t>
  </si>
  <si>
    <t>A25/A</t>
  </si>
  <si>
    <t>A26/A</t>
  </si>
  <si>
    <t>A27/A</t>
  </si>
  <si>
    <t>A28/A</t>
  </si>
  <si>
    <t>A29/A</t>
  </si>
  <si>
    <t>R4/R1</t>
  </si>
  <si>
    <t>A2/A1</t>
  </si>
  <si>
    <t>A3/A1</t>
  </si>
  <si>
    <t>A4/A1</t>
  </si>
  <si>
    <t>A5/A1</t>
  </si>
  <si>
    <t>A6/A1</t>
  </si>
  <si>
    <t>A7/A1</t>
  </si>
  <si>
    <t>A8/A1</t>
  </si>
  <si>
    <t>A9/A1</t>
  </si>
  <si>
    <t>A10/A1</t>
  </si>
  <si>
    <t>A11/A1</t>
  </si>
  <si>
    <t>A12/A1</t>
  </si>
  <si>
    <t>A13/A1</t>
  </si>
  <si>
    <t>A14/A1</t>
  </si>
  <si>
    <t>B1/B</t>
  </si>
  <si>
    <t>B2/B</t>
  </si>
  <si>
    <t>B3/B</t>
  </si>
  <si>
    <t>B4/B</t>
  </si>
  <si>
    <t>B5/B</t>
  </si>
  <si>
    <t>B6/B</t>
  </si>
  <si>
    <t>B7/B</t>
  </si>
  <si>
    <t>B8/B</t>
  </si>
  <si>
    <t>B9/B</t>
  </si>
  <si>
    <t>C=A-B</t>
  </si>
  <si>
    <t>DW</t>
  </si>
  <si>
    <t>B3=B-B1</t>
  </si>
  <si>
    <t>Struktura</t>
  </si>
  <si>
    <t>Wskaźnik</t>
  </si>
  <si>
    <t>D1W/D1P</t>
  </si>
  <si>
    <t>D11W/D1W</t>
  </si>
  <si>
    <t>D11W/D11P</t>
  </si>
  <si>
    <t>D12W/D1W</t>
  </si>
  <si>
    <t>D12W/D12P</t>
  </si>
  <si>
    <t>D13W/D1W</t>
  </si>
  <si>
    <t>D13W/D13P</t>
  </si>
  <si>
    <t>D14W/D1W</t>
  </si>
  <si>
    <t>D14W/D14P</t>
  </si>
  <si>
    <t>D15W/D1W</t>
  </si>
  <si>
    <t>D15W/D15P</t>
  </si>
  <si>
    <t>D16W/D1W</t>
  </si>
  <si>
    <t>D16W/D16P</t>
  </si>
  <si>
    <t>D21W/D2W</t>
  </si>
  <si>
    <t>D21W/D21P</t>
  </si>
  <si>
    <t>D22W/D2W</t>
  </si>
  <si>
    <t>D22W/D22P</t>
  </si>
  <si>
    <t xml:space="preserve">podatek od spadków i darowizn       </t>
  </si>
  <si>
    <t>podatek od czynności cywilnoprawnych</t>
  </si>
  <si>
    <t>A30</t>
  </si>
  <si>
    <t>A30/A</t>
  </si>
  <si>
    <t>A15/A1</t>
  </si>
  <si>
    <t>D2W/D2P</t>
  </si>
  <si>
    <t>A31</t>
  </si>
  <si>
    <t>A32</t>
  </si>
  <si>
    <t>A31/A</t>
  </si>
  <si>
    <t>A32/A</t>
  </si>
  <si>
    <t>D111</t>
  </si>
  <si>
    <t>na realizację programów i projektów realizowanych z udziałem środków pochodzących z funduszy strukturalnych i Funduszu Spójności UE, w tym:</t>
  </si>
  <si>
    <t>D111W/D1W</t>
  </si>
  <si>
    <t>D111W/D111P</t>
  </si>
  <si>
    <t xml:space="preserve">  spłaty pożyczek udzielonych</t>
  </si>
  <si>
    <t xml:space="preserve">  nadwyżka z lat ubiegłych</t>
  </si>
  <si>
    <t xml:space="preserve">  papiery wartościowe</t>
  </si>
  <si>
    <t xml:space="preserve">  prywatyzacja majątku j.s.t.</t>
  </si>
  <si>
    <t xml:space="preserve">  inne źródła</t>
  </si>
  <si>
    <t xml:space="preserve"> ROZCHODY OGÓŁEM     z tego:</t>
  </si>
  <si>
    <t xml:space="preserve">  spłaty kredytów i pożyczek</t>
  </si>
  <si>
    <t>D211</t>
  </si>
  <si>
    <t>D211W/D2W</t>
  </si>
  <si>
    <t>D211W/D211P</t>
  </si>
  <si>
    <t xml:space="preserve">  pożyczki</t>
  </si>
  <si>
    <t xml:space="preserve">  wykup obligacji samorządowych</t>
  </si>
  <si>
    <t>inne cele</t>
  </si>
  <si>
    <t>w tym wymagalne: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</si>
  <si>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</si>
  <si>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</si>
  <si>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</si>
  <si>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</si>
  <si>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</si>
  <si>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</si>
  <si>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</si>
  <si>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</si>
  <si>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</si>
  <si>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</si>
  <si>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</si>
  <si>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</si>
  <si>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</si>
  <si>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</si>
  <si>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</si>
  <si>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</si>
  <si>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</si>
  <si>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</si>
  <si>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</si>
  <si>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</si>
  <si>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t>B=Σ§§</t>
  </si>
  <si>
    <t>PL</t>
  </si>
  <si>
    <t>DO</t>
  </si>
  <si>
    <t>SO</t>
  </si>
  <si>
    <t>SU</t>
  </si>
  <si>
    <t>PO</t>
  </si>
  <si>
    <t>UZ</t>
  </si>
  <si>
    <t>OT</t>
  </si>
  <si>
    <t>A = Σ §§</t>
  </si>
  <si>
    <t>ZA</t>
  </si>
  <si>
    <t>WW</t>
  </si>
  <si>
    <t>ZO</t>
  </si>
  <si>
    <t>LU</t>
  </si>
  <si>
    <t>RB</t>
  </si>
  <si>
    <t>WN</t>
  </si>
  <si>
    <t>P</t>
  </si>
  <si>
    <t>W</t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</si>
  <si>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</si>
  <si>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</si>
  <si>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</si>
  <si>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</si>
  <si>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A16/A1</t>
  </si>
  <si>
    <t>A17/A1</t>
  </si>
  <si>
    <t>A33</t>
  </si>
  <si>
    <t>A34</t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</si>
  <si>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</si>
  <si>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</si>
  <si>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</si>
  <si>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</si>
  <si>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</si>
  <si>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</si>
  <si>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Subwencja ogólna dla gmin z tego:</t>
  </si>
  <si>
    <t>Subwencja ogólna dla powiatów z tego: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</si>
  <si>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</si>
  <si>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</si>
  <si>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</si>
  <si>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</si>
  <si>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</si>
  <si>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</si>
  <si>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</si>
  <si>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</si>
  <si>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</si>
  <si>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</si>
  <si>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</si>
  <si>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</si>
  <si>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</si>
  <si>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A33/A</t>
  </si>
  <si>
    <t>A34/A</t>
  </si>
  <si>
    <t>A35/A</t>
  </si>
  <si>
    <t>#</t>
  </si>
  <si>
    <t>Razem dochody własne 
z tego: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</si>
  <si>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</si>
  <si>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</si>
  <si>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</si>
  <si>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</si>
  <si>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</si>
  <si>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</si>
  <si>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</si>
  <si>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</si>
  <si>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</si>
  <si>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</si>
  <si>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kwartał</t>
  </si>
  <si>
    <t>rok</t>
  </si>
  <si>
    <t>stanNa</t>
  </si>
  <si>
    <t>Symbol=D1</t>
  </si>
  <si>
    <t>Symbol=D11</t>
  </si>
  <si>
    <t>Symbol=D111</t>
  </si>
  <si>
    <t>Symbol=D12</t>
  </si>
  <si>
    <t>Symbol=D13</t>
  </si>
  <si>
    <t>Symbol=D14</t>
  </si>
  <si>
    <t>Symbol=D15</t>
  </si>
  <si>
    <t>Symbol=D16</t>
  </si>
  <si>
    <t>Symbol=D2</t>
  </si>
  <si>
    <t>Symbol=D21</t>
  </si>
  <si>
    <t>Symbol=D211</t>
  </si>
  <si>
    <t>Symbol=D22</t>
  </si>
  <si>
    <t>paragraf zawiera(002) i dzial zawiera(756) i rozdzial zawiera(75621)</t>
  </si>
  <si>
    <t>paragraf zawiera(002) i dzial zawiera(756) i rozdzial zawiera(75622)</t>
  </si>
  <si>
    <t>paragraf zawiera(001) i dzial zawiera(756) i rozdzial zawiera(75621)</t>
  </si>
  <si>
    <t>paragraf zawiera(001) i dzial zawiera(756) i rozdzial zawiera(75622)</t>
  </si>
  <si>
    <t>paragraf zawiera(032)</t>
  </si>
  <si>
    <t>paragraf zawiera(031)</t>
  </si>
  <si>
    <t>paragraf zawiera(033)</t>
  </si>
  <si>
    <t>paragraf zawiera(034)</t>
  </si>
  <si>
    <t>paragraf zawiera(035)</t>
  </si>
  <si>
    <t>paragraf zawiera(036)</t>
  </si>
  <si>
    <t>paragraf zawiera(050)</t>
  </si>
  <si>
    <t>paragraf zawiera(041)</t>
  </si>
  <si>
    <t>paragraf zawiera(046)</t>
  </si>
  <si>
    <t>paragraf zawiera(043)</t>
  </si>
  <si>
    <t>paragraf zawiera(202,632)</t>
  </si>
  <si>
    <t>paragraf zawiera(632)</t>
  </si>
  <si>
    <t>paragraf zawiera(212,642)</t>
  </si>
  <si>
    <t>paragraf zawiera(642)</t>
  </si>
  <si>
    <t>paragraf zawiera(231,232,233,288,661,662,663,664)</t>
  </si>
  <si>
    <t>paragraf zawiera(661,662,663,664)</t>
  </si>
  <si>
    <t>paragraf zawiera(244,626)</t>
  </si>
  <si>
    <t>paragraf zawiera(626)</t>
  </si>
  <si>
    <t>paragraf zawiera(292) i dzial zawiera(758) i rozdzial zawiera(75801)</t>
  </si>
  <si>
    <t>paragraf zawiera(292) i dzial zawiera(758) i rozdzial zawiera(75807)</t>
  </si>
  <si>
    <t>paragraf zawiera(292) i dzial zawiera(758) i rozdzial zawiera(75805)</t>
  </si>
  <si>
    <t>paragraf zawiera(292) i dzial zawiera(758) i rozdzial zawiera(75831)</t>
  </si>
  <si>
    <t>paragraf zawiera(292) i dzial zawiera(758) i rozdzial zawiera(75832)</t>
  </si>
  <si>
    <t>paragraf zawiera(292) i dzial zawiera(758) i rozdzial zawiera(75803)</t>
  </si>
  <si>
    <t>wydatki z tytułu udzielania poręczeń i gwarancji</t>
  </si>
  <si>
    <t>paragraf zawiera(213,643)</t>
  </si>
  <si>
    <t>paragraf zawiera(643)</t>
  </si>
  <si>
    <t>D23</t>
  </si>
  <si>
    <t>Symbol=D23</t>
  </si>
  <si>
    <t>D23W/D23P</t>
  </si>
  <si>
    <t>D23W/D2W</t>
  </si>
  <si>
    <t>paragraf zawiera(200,620)</t>
  </si>
  <si>
    <t>paragraf zawiera(620)</t>
  </si>
  <si>
    <t>A48</t>
  </si>
  <si>
    <t>A49</t>
  </si>
  <si>
    <t>Dotacje ogółem                      z tego:</t>
  </si>
  <si>
    <t>Dotacje ogółem                       z tego:</t>
  </si>
  <si>
    <t>A50</t>
  </si>
  <si>
    <t>świadczenia na rzecz osób fizycznych</t>
  </si>
  <si>
    <r>
      <t xml:space="preserve">Dotacja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</si>
  <si>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 620</t>
    </r>
  </si>
  <si>
    <t>tytul</t>
  </si>
  <si>
    <t>majątkowe</t>
  </si>
  <si>
    <t>bieżące</t>
  </si>
  <si>
    <r>
      <t>A=</t>
    </r>
    <r>
      <rPr>
        <sz val="8"/>
        <color indexed="8"/>
        <rFont val="Arial"/>
        <family val="0"/>
      </rPr>
      <t xml:space="preserve">∑ </t>
    </r>
    <r>
      <rPr>
        <sz val="8"/>
        <color indexed="8"/>
        <rFont val="Arial"/>
        <family val="2"/>
      </rPr>
      <t>§§</t>
    </r>
  </si>
  <si>
    <t>AM</t>
  </si>
  <si>
    <t>AB</t>
  </si>
  <si>
    <t>AB=A-AM</t>
  </si>
  <si>
    <t>UE</t>
  </si>
  <si>
    <t>wydatki majątkowe</t>
  </si>
  <si>
    <t>wydatki bieżące</t>
  </si>
  <si>
    <t>UE1</t>
  </si>
  <si>
    <t>UE2</t>
  </si>
  <si>
    <t>UE2=UE-UE1</t>
  </si>
  <si>
    <t>WYDATKI OGÓŁEM UE z tego:</t>
  </si>
  <si>
    <t>Dochody bieżące minus Wydatki bieżące</t>
  </si>
  <si>
    <t>UE1/UE</t>
  </si>
  <si>
    <t>UE2/UE</t>
  </si>
  <si>
    <t>AM/A</t>
  </si>
  <si>
    <t>AB/A</t>
  </si>
  <si>
    <t>w złotych</t>
  </si>
  <si>
    <t>A17=A1-A2-A3-A4-A5-A6-A7-A8-A9-A10-A11-A12-A13-A14-A15-A16</t>
  </si>
  <si>
    <t>paragraf zawiera(630)</t>
  </si>
  <si>
    <t>paragraf zawiera(633)</t>
  </si>
  <si>
    <t>A51</t>
  </si>
  <si>
    <t>A52</t>
  </si>
  <si>
    <t>A36/A</t>
  </si>
  <si>
    <t>A37/A</t>
  </si>
  <si>
    <t>A38/A</t>
  </si>
  <si>
    <t>A39/A</t>
  </si>
  <si>
    <t>A40/A</t>
  </si>
  <si>
    <t>A41/A</t>
  </si>
  <si>
    <t>A42/A</t>
  </si>
  <si>
    <t>A43/A</t>
  </si>
  <si>
    <t>A44/A</t>
  </si>
  <si>
    <t>A45/A</t>
  </si>
  <si>
    <t>A46/A</t>
  </si>
  <si>
    <t>A47/A</t>
  </si>
  <si>
    <t>A48/A</t>
  </si>
  <si>
    <t>A49/A</t>
  </si>
  <si>
    <t>A50/A</t>
  </si>
  <si>
    <t>A51/A</t>
  </si>
  <si>
    <t>A52/A</t>
  </si>
  <si>
    <t>z tytułu pomocy finansowej udzielanej między jst na dofinansowanie własnych zadań</t>
  </si>
  <si>
    <t>A34=A35+A37+A39</t>
  </si>
  <si>
    <t>paragraf zawiera(203,204,287,633)</t>
  </si>
  <si>
    <t>A19=A20+A27+A34</t>
  </si>
  <si>
    <t>A20=A21+A23+A25</t>
  </si>
  <si>
    <t>A27=A28+A30+A32</t>
  </si>
  <si>
    <t>wolne środki, o których mowa w art. 217 ust. 2 pkt 6 ustawy o finansach publicznych  w tym:</t>
  </si>
  <si>
    <t>inne źródła</t>
  </si>
  <si>
    <t xml:space="preserve"> E</t>
  </si>
  <si>
    <t>FINANSOWANIE DEFICYTU (E1+E2+E3+E4+E5)  z tego:</t>
  </si>
  <si>
    <t>Symbol=E</t>
  </si>
  <si>
    <t xml:space="preserve"> E1</t>
  </si>
  <si>
    <t>sprzedaż papierów wartościowych wyemitowanych przez jednostkę samorządu terytorialnego</t>
  </si>
  <si>
    <t>Symbol=E1</t>
  </si>
  <si>
    <t xml:space="preserve"> E2</t>
  </si>
  <si>
    <t>kredyty i pożyczki</t>
  </si>
  <si>
    <t>Symbol=E2</t>
  </si>
  <si>
    <t xml:space="preserve"> E3</t>
  </si>
  <si>
    <t>prywatyzacja majątku jednostki samorządu terytorialnego</t>
  </si>
  <si>
    <t>Symbol=E3</t>
  </si>
  <si>
    <t xml:space="preserve"> E4</t>
  </si>
  <si>
    <t>nadwyżka budżetu jednostki samorządu terytorialnego z lat ubiegłych</t>
  </si>
  <si>
    <t>Symbol=E4</t>
  </si>
  <si>
    <t xml:space="preserve"> E5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</si>
  <si>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</si>
  <si>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Symbol=E5</t>
  </si>
  <si>
    <t>A53</t>
  </si>
  <si>
    <t>A54</t>
  </si>
  <si>
    <t>A53/A</t>
  </si>
  <si>
    <t>A54/A</t>
  </si>
  <si>
    <t>A48=A49+A50+A51</t>
  </si>
  <si>
    <t>A52=A53+A54</t>
  </si>
  <si>
    <r>
      <t xml:space="preserve">Dotacja </t>
    </r>
    <r>
      <rPr>
        <b/>
        <sz val="10"/>
        <color indexed="8"/>
        <rFont val="Arial"/>
        <family val="0"/>
      </rPr>
      <t>§§ 205 i 625</t>
    </r>
  </si>
  <si>
    <t>paragraf zawiera(205,625)</t>
  </si>
  <si>
    <t>paragraf zawiera(625)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</si>
  <si>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</si>
  <si>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A1=A-A18-A45</t>
  </si>
  <si>
    <t>A18=A19+A41+A43</t>
  </si>
  <si>
    <t>A45=A46+A47+A48+A52</t>
  </si>
  <si>
    <t>paragraf zawiera(073,074,075,076,077,078,080,081,087)</t>
  </si>
  <si>
    <t>paragraf zawiera(631,634)</t>
  </si>
  <si>
    <t>paragraf zawiera(641,644)</t>
  </si>
  <si>
    <t>Dotacje §§ 200 i 620</t>
  </si>
  <si>
    <t>w tym: inwestycyjne § 620</t>
  </si>
  <si>
    <t>Dotacje §§ 205 i 625</t>
  </si>
  <si>
    <t>w tym: inwestycyjne § 625</t>
  </si>
  <si>
    <t>WYDATKI OGÓŁEM UE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</si>
  <si>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</si>
  <si>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</si>
  <si>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</si>
  <si>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</si>
  <si>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</si>
  <si>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</si>
  <si>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</si>
  <si>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</si>
  <si>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</si>
  <si>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paragraf zawiera(271,278,630)</t>
  </si>
  <si>
    <t>wydatki na wynagrodzenia i pochodne od wynagrodzeń</t>
  </si>
  <si>
    <t>paragraf zawiera(401,402,404,405,406,407,408,409,410,411,412,417,418,478) lub grupa zawiera(1400,1401,1402,1403)</t>
  </si>
  <si>
    <t>paragraf zawiera(802,803) lub grupa zawiera(1800)</t>
  </si>
  <si>
    <t>paragraf zawiera(302,303,304,305,307,311,320,321,324,325,326) lub grupa zawiera(1300,1301,1302,1303)</t>
  </si>
  <si>
    <t>finpar zawiera(1,2,5,6,7,8,9) lub grupa zawiera(1101,1102,1201,1202,1301,1302,1401,1402,1601,1602,1611,1612)</t>
  </si>
  <si>
    <t>B9=B3-B4-B5-B6-B7-B8</t>
  </si>
  <si>
    <t>paragraf zawiera(601,603,605,606,613,614,615,617,619,620,621,622,623,625,630,656,657,658,659,661,662,663,664,665,666,669,680) lub grupa zawiera(1600,1601,1602,1610,1611,1612,1620,1630)</t>
  </si>
  <si>
    <t>paragraf zawiera(801,804,806,807,809,811,812,813) lub grupa zawiera(1810)</t>
  </si>
  <si>
    <t>paragraf zawiera(601,603,605,606,613,614,615,617,619,620,621,622,623,625,630,656,657,658,659,661,662,663,664,665,666,669,680) i finpar zawiera(1,2,5,6,7,8,9) lub grupa zawiera(1601,1602,1611,1612)</t>
  </si>
  <si>
    <t>paragraf zawiera(605,606,613,614,615,617,619,620,621,622,623,625,630,656,657,658,659,661,662,663,664,665,666,669,680) lub grupa zawiera(1600,1601,1602,1610,1611,1612)</t>
  </si>
  <si>
    <t>paragraf zawiera(200,205,220,226,227,231,232,233,236,241,243,248,249,250,251,252,253,254,255,256,257,258,259,262,263,264,265,266,271,272,273,278,280,281,282,283,288,290) lub grupa zawiera(1200,1201,1202,1203)</t>
  </si>
  <si>
    <t>D13a</t>
  </si>
  <si>
    <t>niewykorzystane środki pieniężne o których mowa w art..217 ust.2 pkt.8 ustawy o finansach publicznych</t>
  </si>
  <si>
    <t>Symbol=D13a</t>
  </si>
  <si>
    <t>niewykorzystane środki pieniężne o których mowa w art.217 ust.2 pkt.8 ustawy o finansach publicznych</t>
  </si>
  <si>
    <t>D13aW/D1W</t>
  </si>
  <si>
    <t>D13aW/D13aP</t>
  </si>
  <si>
    <t>paragraf zawiera(275,276,279,618) i dzial zawiera(758) i rozdzial zawiera(75802,75819)</t>
  </si>
  <si>
    <t>paragraf zawiera(076,077,078,080,087,609,610,618,620,625,626,628,629,630,631,632,633,634,635,641,642,643,644,645,651,652,653,656,661,662,663,664,665,666,668,669)</t>
  </si>
  <si>
    <t>paragraf zawiera(201,206,218,631,634)</t>
  </si>
  <si>
    <t>paragraf zawiera(211,216,218,641,644)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</si>
</sst>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2" borderId="0" applyNumberFormat="0" applyBorder="0" applyAlignment="0" applyProtection="0"/>
    <xf numFmtId="0" fontId="17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40" borderId="1" applyNumberFormat="0" applyAlignment="0" applyProtection="0"/>
    <xf numFmtId="0" fontId="20" fillId="41" borderId="2" applyNumberFormat="0" applyAlignment="0" applyProtection="0"/>
    <xf numFmtId="0" fontId="41" fillId="42" borderId="3" applyNumberFormat="0" applyAlignment="0" applyProtection="0"/>
    <xf numFmtId="0" fontId="42" fillId="43" borderId="4" applyNumberFormat="0" applyAlignment="0" applyProtection="0"/>
    <xf numFmtId="0" fontId="4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6" borderId="1" applyNumberFormat="0" applyAlignment="0" applyProtection="0"/>
    <xf numFmtId="0" fontId="44" fillId="0" borderId="8" applyNumberFormat="0" applyFill="0" applyAlignment="0" applyProtection="0"/>
    <xf numFmtId="0" fontId="45" fillId="46" borderId="9" applyNumberFormat="0" applyAlignment="0" applyProtection="0"/>
    <xf numFmtId="0" fontId="27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49" fillId="47" borderId="0" applyNumberFormat="0" applyBorder="0" applyAlignment="0" applyProtection="0"/>
    <xf numFmtId="0" fontId="39" fillId="0" borderId="0">
      <alignment/>
      <protection/>
    </xf>
    <xf numFmtId="0" fontId="0" fillId="4" borderId="14" applyNumberFormat="0" applyFont="0" applyAlignment="0" applyProtection="0"/>
    <xf numFmtId="0" fontId="50" fillId="43" borderId="3" applyNumberFormat="0" applyAlignment="0" applyProtection="0"/>
    <xf numFmtId="0" fontId="2" fillId="0" borderId="0" applyNumberFormat="0" applyFill="0" applyBorder="0" applyAlignment="0" applyProtection="0"/>
    <xf numFmtId="0" fontId="29" fillId="40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5" fillId="49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40" borderId="19" xfId="0" applyFont="1" applyFill="1" applyBorder="1" applyAlignment="1">
      <alignment horizontal="left" vertical="center" wrapText="1" indent="1"/>
    </xf>
    <xf numFmtId="4" fontId="5" fillId="40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2" fillId="0" borderId="19" xfId="0" applyNumberFormat="1" applyFont="1" applyBorder="1" applyAlignment="1">
      <alignment horizontal="right" vertical="center"/>
    </xf>
    <xf numFmtId="4" fontId="12" fillId="0" borderId="20" xfId="0" applyNumberFormat="1" applyFont="1" applyBorder="1" applyAlignment="1">
      <alignment horizontal="right" vertical="center"/>
    </xf>
    <xf numFmtId="4" fontId="12" fillId="40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7" fillId="40" borderId="19" xfId="0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4" fontId="8" fillId="40" borderId="19" xfId="0" applyNumberFormat="1" applyFont="1" applyFill="1" applyBorder="1" applyAlignment="1">
      <alignment horizontal="right" vertical="center"/>
    </xf>
    <xf numFmtId="0" fontId="5" fillId="40" borderId="19" xfId="0" applyFont="1" applyFill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 quotePrefix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2"/>
    </xf>
    <xf numFmtId="0" fontId="8" fillId="40" borderId="19" xfId="0" applyFont="1" applyFill="1" applyBorder="1" applyAlignment="1" quotePrefix="1">
      <alignment horizontal="left" vertical="center" wrapText="1" indent="1"/>
    </xf>
    <xf numFmtId="4" fontId="8" fillId="0" borderId="23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/>
    </xf>
    <xf numFmtId="168" fontId="3" fillId="0" borderId="19" xfId="0" applyNumberFormat="1" applyFont="1" applyBorder="1" applyAlignment="1">
      <alignment/>
    </xf>
    <xf numFmtId="4" fontId="5" fillId="40" borderId="21" xfId="0" applyNumberFormat="1" applyFont="1" applyFill="1" applyBorder="1" applyAlignment="1">
      <alignment horizontal="left" vertical="center"/>
    </xf>
    <xf numFmtId="4" fontId="5" fillId="40" borderId="23" xfId="0" applyNumberFormat="1" applyFont="1" applyFill="1" applyBorder="1" applyAlignment="1">
      <alignment horizontal="left" vertical="center"/>
    </xf>
    <xf numFmtId="4" fontId="5" fillId="40" borderId="22" xfId="0" applyNumberFormat="1" applyFont="1" applyFill="1" applyBorder="1" applyAlignment="1">
      <alignment horizontal="left" vertical="center"/>
    </xf>
    <xf numFmtId="4" fontId="5" fillId="40" borderId="0" xfId="0" applyNumberFormat="1" applyFont="1" applyFill="1" applyBorder="1" applyAlignment="1">
      <alignment horizontal="right" vertical="center"/>
    </xf>
    <xf numFmtId="0" fontId="5" fillId="40" borderId="0" xfId="0" applyFont="1" applyFill="1" applyBorder="1" applyAlignment="1">
      <alignment horizontal="left" vertical="center" wrapText="1" indent="1"/>
    </xf>
    <xf numFmtId="4" fontId="5" fillId="40" borderId="0" xfId="0" applyNumberFormat="1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right"/>
    </xf>
    <xf numFmtId="0" fontId="8" fillId="0" borderId="19" xfId="0" applyFont="1" applyBorder="1" applyAlignment="1">
      <alignment horizontal="right" vertical="center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4" fontId="12" fillId="40" borderId="19" xfId="71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40" borderId="19" xfId="0" applyNumberFormat="1" applyFont="1" applyFill="1" applyBorder="1" applyAlignment="1">
      <alignment horizontal="center" vertical="center"/>
    </xf>
    <xf numFmtId="4" fontId="12" fillId="40" borderId="19" xfId="0" applyNumberFormat="1" applyFont="1" applyFill="1" applyBorder="1" applyAlignment="1">
      <alignment horizontal="center" vertical="center"/>
    </xf>
    <xf numFmtId="4" fontId="7" fillId="50" borderId="19" xfId="0" applyNumberFormat="1" applyFont="1" applyFill="1" applyBorder="1" applyAlignment="1">
      <alignment horizontal="center" vertical="center"/>
    </xf>
    <xf numFmtId="0" fontId="56" fillId="0" borderId="0" xfId="89" applyFont="1" applyAlignment="1">
      <alignment horizontal="center" vertical="center"/>
      <protection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4" fillId="51" borderId="19" xfId="0" applyFont="1" applyFill="1" applyBorder="1" applyAlignment="1">
      <alignment horizontal="center" vertical="center" wrapText="1"/>
    </xf>
    <xf numFmtId="4" fontId="34" fillId="51" borderId="19" xfId="0" applyNumberFormat="1" applyFont="1" applyFill="1" applyBorder="1" applyAlignment="1">
      <alignment horizontal="center" vertical="center"/>
    </xf>
    <xf numFmtId="164" fontId="34" fillId="51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" fontId="35" fillId="0" borderId="19" xfId="0" applyNumberFormat="1" applyFont="1" applyBorder="1" applyAlignment="1">
      <alignment horizontal="center" vertical="center"/>
    </xf>
    <xf numFmtId="164" fontId="3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35" fillId="0" borderId="19" xfId="0" applyNumberFormat="1" applyFont="1" applyFill="1" applyBorder="1" applyAlignment="1">
      <alignment horizontal="center" vertical="center"/>
    </xf>
    <xf numFmtId="4" fontId="36" fillId="0" borderId="19" xfId="0" applyNumberFormat="1" applyFont="1" applyFill="1" applyBorder="1" applyAlignment="1">
      <alignment horizontal="center" vertical="center"/>
    </xf>
    <xf numFmtId="4" fontId="35" fillId="51" borderId="19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0" fontId="14" fillId="40" borderId="19" xfId="0" applyFont="1" applyFill="1" applyBorder="1" applyAlignment="1" quotePrefix="1">
      <alignment horizontal="center" vertical="center" wrapText="1"/>
    </xf>
    <xf numFmtId="4" fontId="36" fillId="0" borderId="19" xfId="0" applyNumberFormat="1" applyFont="1" applyBorder="1" applyAlignment="1">
      <alignment horizontal="center" vertical="center"/>
    </xf>
    <xf numFmtId="0" fontId="14" fillId="51" borderId="19" xfId="0" applyFont="1" applyFill="1" applyBorder="1" applyAlignment="1" quotePrefix="1">
      <alignment horizontal="center" vertical="center" wrapText="1"/>
    </xf>
    <xf numFmtId="164" fontId="35" fillId="40" borderId="19" xfId="0" applyNumberFormat="1" applyFont="1" applyFill="1" applyBorder="1" applyAlignment="1">
      <alignment horizontal="center" vertical="center"/>
    </xf>
    <xf numFmtId="0" fontId="5" fillId="52" borderId="19" xfId="0" applyFont="1" applyFill="1" applyBorder="1" applyAlignment="1">
      <alignment horizontal="center" vertical="center" wrapText="1"/>
    </xf>
    <xf numFmtId="4" fontId="35" fillId="52" borderId="19" xfId="0" applyNumberFormat="1" applyFont="1" applyFill="1" applyBorder="1" applyAlignment="1">
      <alignment horizontal="center" vertical="center"/>
    </xf>
    <xf numFmtId="164" fontId="35" fillId="52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3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" fontId="37" fillId="51" borderId="19" xfId="0" applyNumberFormat="1" applyFont="1" applyFill="1" applyBorder="1" applyAlignment="1">
      <alignment horizontal="center" vertical="center"/>
    </xf>
    <xf numFmtId="164" fontId="37" fillId="51" borderId="19" xfId="0" applyNumberFormat="1" applyFont="1" applyFill="1" applyBorder="1" applyAlignment="1">
      <alignment horizontal="center" vertical="center"/>
    </xf>
    <xf numFmtId="4" fontId="34" fillId="51" borderId="19" xfId="0" applyNumberFormat="1" applyFont="1" applyFill="1" applyBorder="1" applyAlignment="1">
      <alignment horizontal="center" vertical="center" wrapText="1"/>
    </xf>
    <xf numFmtId="4" fontId="34" fillId="51" borderId="19" xfId="0" applyNumberFormat="1" applyFont="1" applyFill="1" applyBorder="1" applyAlignment="1">
      <alignment horizontal="center" vertical="center" wrapText="1"/>
    </xf>
    <xf numFmtId="164" fontId="36" fillId="0" borderId="19" xfId="0" applyNumberFormat="1" applyFont="1" applyFill="1" applyBorder="1" applyAlignment="1">
      <alignment horizontal="center" vertical="center"/>
    </xf>
    <xf numFmtId="4" fontId="35" fillId="0" borderId="19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164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3" fontId="34" fillId="0" borderId="26" xfId="0" applyNumberFormat="1" applyFont="1" applyBorder="1" applyAlignment="1">
      <alignment horizontal="center" vertical="center"/>
    </xf>
    <xf numFmtId="3" fontId="34" fillId="0" borderId="19" xfId="0" applyNumberFormat="1" applyFont="1" applyBorder="1" applyAlignment="1">
      <alignment horizontal="center" vertical="center"/>
    </xf>
    <xf numFmtId="164" fontId="36" fillId="0" borderId="19" xfId="0" applyNumberFormat="1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4" fontId="35" fillId="51" borderId="26" xfId="0" applyNumberFormat="1" applyFont="1" applyFill="1" applyBorder="1" applyAlignment="1">
      <alignment horizontal="center" vertical="center" wrapText="1"/>
    </xf>
    <xf numFmtId="4" fontId="35" fillId="51" borderId="1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4" fontId="35" fillId="0" borderId="26" xfId="0" applyNumberFormat="1" applyFont="1" applyFill="1" applyBorder="1" applyAlignment="1">
      <alignment horizontal="center" vertical="center" wrapText="1"/>
    </xf>
    <xf numFmtId="164" fontId="37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40" borderId="19" xfId="0" applyFont="1" applyFill="1" applyBorder="1" applyAlignment="1">
      <alignment horizontal="center" vertical="top" wrapText="1"/>
    </xf>
    <xf numFmtId="4" fontId="37" fillId="40" borderId="25" xfId="0" applyNumberFormat="1" applyFont="1" applyFill="1" applyBorder="1" applyAlignment="1">
      <alignment horizontal="center" vertical="center"/>
    </xf>
    <xf numFmtId="4" fontId="37" fillId="40" borderId="26" xfId="0" applyNumberFormat="1" applyFont="1" applyFill="1" applyBorder="1" applyAlignment="1">
      <alignment horizontal="center" vertical="center"/>
    </xf>
    <xf numFmtId="164" fontId="37" fillId="40" borderId="19" xfId="71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4" fontId="36" fillId="0" borderId="25" xfId="0" applyNumberFormat="1" applyFont="1" applyBorder="1" applyAlignment="1">
      <alignment horizontal="center" vertical="center"/>
    </xf>
    <xf numFmtId="4" fontId="36" fillId="0" borderId="26" xfId="0" applyNumberFormat="1" applyFont="1" applyBorder="1" applyAlignment="1">
      <alignment horizontal="center" vertical="center"/>
    </xf>
    <xf numFmtId="164" fontId="37" fillId="52" borderId="19" xfId="71" applyNumberFormat="1" applyFont="1" applyFill="1" applyBorder="1" applyAlignment="1">
      <alignment horizontal="center" vertical="center"/>
    </xf>
    <xf numFmtId="164" fontId="37" fillId="52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4" fontId="36" fillId="0" borderId="25" xfId="0" applyNumberFormat="1" applyFont="1" applyFill="1" applyBorder="1" applyAlignment="1">
      <alignment horizontal="center" vertical="center"/>
    </xf>
    <xf numFmtId="4" fontId="36" fillId="0" borderId="26" xfId="0" applyNumberFormat="1" applyFont="1" applyFill="1" applyBorder="1" applyAlignment="1">
      <alignment horizontal="center" vertical="center"/>
    </xf>
    <xf numFmtId="164" fontId="37" fillId="0" borderId="19" xfId="71" applyNumberFormat="1" applyFont="1" applyFill="1" applyBorder="1" applyAlignment="1">
      <alignment horizontal="center" vertical="center"/>
    </xf>
    <xf numFmtId="0" fontId="12" fillId="51" borderId="19" xfId="0" applyFont="1" applyFill="1" applyBorder="1" applyAlignment="1">
      <alignment horizontal="center" vertical="top" wrapText="1"/>
    </xf>
    <xf numFmtId="4" fontId="37" fillId="51" borderId="25" xfId="0" applyNumberFormat="1" applyFont="1" applyFill="1" applyBorder="1" applyAlignment="1">
      <alignment horizontal="center" vertical="center"/>
    </xf>
    <xf numFmtId="4" fontId="37" fillId="51" borderId="26" xfId="0" applyNumberFormat="1" applyFont="1" applyFill="1" applyBorder="1" applyAlignment="1">
      <alignment horizontal="center" vertical="center"/>
    </xf>
    <xf numFmtId="164" fontId="37" fillId="51" borderId="19" xfId="71" applyNumberFormat="1" applyFont="1" applyFill="1" applyBorder="1" applyAlignment="1">
      <alignment horizontal="center" vertical="center"/>
    </xf>
    <xf numFmtId="0" fontId="56" fillId="0" borderId="19" xfId="89" applyFont="1" applyFill="1" applyBorder="1" applyAlignment="1">
      <alignment horizontal="center" vertical="top" wrapText="1"/>
      <protection/>
    </xf>
    <xf numFmtId="4" fontId="37" fillId="0" borderId="2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168" fontId="7" fillId="0" borderId="19" xfId="0" applyNumberFormat="1" applyFont="1" applyBorder="1" applyAlignment="1">
      <alignment horizontal="center"/>
    </xf>
    <xf numFmtId="4" fontId="35" fillId="0" borderId="19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4" fontId="34" fillId="51" borderId="19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" fontId="35" fillId="0" borderId="25" xfId="0" applyNumberFormat="1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4" fontId="35" fillId="0" borderId="19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4" fontId="37" fillId="51" borderId="19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left" vertical="center"/>
    </xf>
    <xf numFmtId="4" fontId="5" fillId="40" borderId="19" xfId="0" applyNumberFormat="1" applyFont="1" applyFill="1" applyBorder="1" applyAlignment="1">
      <alignment horizontal="left" vertical="center"/>
    </xf>
    <xf numFmtId="4" fontId="8" fillId="40" borderId="19" xfId="0" applyNumberFormat="1" applyFont="1" applyFill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left" vertical="center"/>
    </xf>
    <xf numFmtId="4" fontId="5" fillId="0" borderId="19" xfId="0" applyNumberFormat="1" applyFont="1" applyFill="1" applyBorder="1" applyAlignment="1">
      <alignment horizontal="left" vertical="center"/>
    </xf>
    <xf numFmtId="4" fontId="8" fillId="40" borderId="19" xfId="0" applyNumberFormat="1" applyFont="1" applyFill="1" applyBorder="1" applyAlignment="1">
      <alignment vertical="center"/>
    </xf>
    <xf numFmtId="4" fontId="5" fillId="40" borderId="19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4" fontId="5" fillId="0" borderId="25" xfId="0" applyNumberFormat="1" applyFont="1" applyFill="1" applyBorder="1" applyAlignment="1">
      <alignment vertical="top" wrapText="1"/>
    </xf>
    <xf numFmtId="4" fontId="5" fillId="0" borderId="27" xfId="0" applyNumberFormat="1" applyFont="1" applyFill="1" applyBorder="1" applyAlignment="1">
      <alignment vertical="top" wrapText="1"/>
    </xf>
    <xf numFmtId="4" fontId="5" fillId="0" borderId="26" xfId="0" applyNumberFormat="1" applyFont="1" applyFill="1" applyBorder="1" applyAlignment="1">
      <alignment vertical="top" wrapText="1"/>
    </xf>
    <xf numFmtId="4" fontId="8" fillId="40" borderId="25" xfId="0" applyNumberFormat="1" applyFont="1" applyFill="1" applyBorder="1" applyAlignment="1">
      <alignment vertical="center"/>
    </xf>
    <xf numFmtId="4" fontId="8" fillId="40" borderId="27" xfId="0" applyNumberFormat="1" applyFont="1" applyFill="1" applyBorder="1" applyAlignment="1">
      <alignment vertical="center"/>
    </xf>
    <xf numFmtId="4" fontId="8" fillId="40" borderId="26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5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4" fontId="5" fillId="40" borderId="25" xfId="0" applyNumberFormat="1" applyFont="1" applyFill="1" applyBorder="1" applyAlignment="1">
      <alignment vertical="top" wrapText="1"/>
    </xf>
    <xf numFmtId="4" fontId="5" fillId="40" borderId="27" xfId="0" applyNumberFormat="1" applyFont="1" applyFill="1" applyBorder="1" applyAlignment="1">
      <alignment vertical="top" wrapText="1"/>
    </xf>
    <xf numFmtId="4" fontId="5" fillId="40" borderId="26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1" fillId="40" borderId="19" xfId="0" applyFont="1" applyFill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/>
    </xf>
    <xf numFmtId="4" fontId="9" fillId="40" borderId="25" xfId="0" applyNumberFormat="1" applyFont="1" applyFill="1" applyBorder="1" applyAlignment="1">
      <alignment horizontal="center" vertical="center"/>
    </xf>
    <xf numFmtId="4" fontId="9" fillId="40" borderId="27" xfId="0" applyNumberFormat="1" applyFont="1" applyFill="1" applyBorder="1" applyAlignment="1">
      <alignment horizontal="center" vertical="center"/>
    </xf>
    <xf numFmtId="4" fontId="9" fillId="40" borderId="26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11" fillId="40" borderId="25" xfId="0" applyFont="1" applyFill="1" applyBorder="1" applyAlignment="1">
      <alignment horizontal="left" vertical="center" wrapText="1"/>
    </xf>
    <xf numFmtId="0" fontId="11" fillId="40" borderId="26" xfId="0" applyFont="1" applyFill="1" applyBorder="1" applyAlignment="1">
      <alignment horizontal="left" vertical="center" wrapText="1"/>
    </xf>
    <xf numFmtId="4" fontId="11" fillId="40" borderId="25" xfId="0" applyNumberFormat="1" applyFont="1" applyFill="1" applyBorder="1" applyAlignment="1">
      <alignment horizontal="center" vertical="center"/>
    </xf>
    <xf numFmtId="4" fontId="11" fillId="40" borderId="27" xfId="0" applyNumberFormat="1" applyFont="1" applyFill="1" applyBorder="1" applyAlignment="1">
      <alignment horizontal="center" vertical="center"/>
    </xf>
    <xf numFmtId="4" fontId="11" fillId="40" borderId="26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" fontId="9" fillId="0" borderId="25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0" fontId="7" fillId="51" borderId="19" xfId="0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51" borderId="19" xfId="0" applyFont="1" applyFill="1" applyBorder="1" applyAlignment="1">
      <alignment horizontal="left" vertical="center" wrapText="1" indent="1"/>
    </xf>
    <xf numFmtId="4" fontId="9" fillId="50" borderId="25" xfId="0" applyNumberFormat="1" applyFont="1" applyFill="1" applyBorder="1" applyAlignment="1">
      <alignment horizontal="center" vertical="center"/>
    </xf>
    <xf numFmtId="4" fontId="9" fillId="50" borderId="27" xfId="0" applyNumberFormat="1" applyFont="1" applyFill="1" applyBorder="1" applyAlignment="1">
      <alignment horizontal="center" vertical="center"/>
    </xf>
    <xf numFmtId="4" fontId="9" fillId="50" borderId="26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7" fillId="50" borderId="19" xfId="0" applyFont="1" applyFill="1" applyBorder="1" applyAlignment="1">
      <alignment horizontal="left" vertical="center" wrapText="1"/>
    </xf>
    <xf numFmtId="4" fontId="8" fillId="40" borderId="19" xfId="0" applyNumberFormat="1" applyFont="1" applyFill="1" applyBorder="1" applyAlignment="1">
      <alignment horizontal="left" vertical="center"/>
    </xf>
    <xf numFmtId="4" fontId="8" fillId="0" borderId="19" xfId="0" applyNumberFormat="1" applyFont="1" applyBorder="1" applyAlignment="1">
      <alignment horizontal="left" vertical="center"/>
    </xf>
    <xf numFmtId="4" fontId="5" fillId="0" borderId="19" xfId="0" applyNumberFormat="1" applyFont="1" applyBorder="1" applyAlignment="1">
      <alignment horizontal="left" vertical="center" wrapText="1"/>
    </xf>
    <xf numFmtId="4" fontId="5" fillId="40" borderId="19" xfId="0" applyNumberFormat="1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4" fontId="5" fillId="40" borderId="25" xfId="0" applyNumberFormat="1" applyFont="1" applyFill="1" applyBorder="1" applyAlignment="1">
      <alignment horizontal="left" vertical="center" wrapText="1"/>
    </xf>
    <xf numFmtId="4" fontId="5" fillId="40" borderId="27" xfId="0" applyNumberFormat="1" applyFont="1" applyFill="1" applyBorder="1" applyAlignment="1">
      <alignment horizontal="left" vertical="center" wrapText="1"/>
    </xf>
    <xf numFmtId="4" fontId="5" fillId="40" borderId="26" xfId="0" applyNumberFormat="1" applyFont="1" applyFill="1" applyBorder="1" applyAlignment="1">
      <alignment horizontal="left" vertical="center" wrapText="1"/>
    </xf>
    <xf numFmtId="0" fontId="7" fillId="40" borderId="25" xfId="0" applyFont="1" applyFill="1" applyBorder="1" applyAlignment="1">
      <alignment horizontal="left" vertical="center" wrapText="1"/>
    </xf>
    <xf numFmtId="0" fontId="7" fillId="40" borderId="26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/>
    </xf>
    <xf numFmtId="3" fontId="8" fillId="0" borderId="19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3" fontId="8" fillId="0" borderId="25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7" fillId="2" borderId="19" xfId="0" applyFont="1" applyFill="1" applyBorder="1" applyAlignment="1">
      <alignment horizontal="center" vertical="top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22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82" hidden="1" customWidth="1"/>
    <col min="2" max="2" width="22.875" style="82" customWidth="1"/>
    <col min="3" max="5" width="14.625" style="82" customWidth="1"/>
    <col min="6" max="6" width="13.875" style="82" customWidth="1"/>
    <col min="7" max="7" width="13.00390625" style="82" customWidth="1"/>
    <col min="8" max="9" width="12.25390625" style="82" customWidth="1"/>
    <col min="10" max="10" width="13.00390625" style="82" customWidth="1"/>
    <col min="11" max="11" width="7.375" style="82" customWidth="1"/>
    <col min="12" max="12" width="7.25390625" style="82" customWidth="1"/>
    <col min="13" max="13" width="8.125" style="82" customWidth="1"/>
    <col min="14" max="16384" width="9.125" style="82" customWidth="1"/>
  </cols>
  <sheetData>
    <row r="1" spans="2:13" ht="27.75" customHeight="1">
      <c r="B1" s="158" t="str">
        <f>CONCATENATE("Informacja z wykonania budżetów miast na prawach powiatu za ",$D$119," ",$C$120," rok    ",$C$122,"")</f>
        <v>Informacja z wykonania budżetów miast na prawach powiatu za II Kwartały 2021 rok    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2:13" ht="63" customHeight="1">
      <c r="B2" s="159" t="s">
        <v>0</v>
      </c>
      <c r="C2" s="16" t="s">
        <v>179</v>
      </c>
      <c r="D2" s="16" t="s">
        <v>180</v>
      </c>
      <c r="E2" s="16" t="s">
        <v>181</v>
      </c>
      <c r="F2" s="16" t="s">
        <v>182</v>
      </c>
      <c r="G2" s="16" t="s">
        <v>183</v>
      </c>
      <c r="H2" s="16" t="s">
        <v>184</v>
      </c>
      <c r="I2" s="16" t="s">
        <v>185</v>
      </c>
      <c r="J2" s="16" t="s">
        <v>186</v>
      </c>
      <c r="K2" s="17" t="s">
        <v>2</v>
      </c>
      <c r="L2" s="16" t="s">
        <v>67</v>
      </c>
      <c r="M2" s="16" t="s">
        <v>3</v>
      </c>
    </row>
    <row r="3" spans="2:13" ht="12.75">
      <c r="B3" s="159"/>
      <c r="C3" s="182" t="s">
        <v>338</v>
      </c>
      <c r="D3" s="182"/>
      <c r="E3" s="182"/>
      <c r="F3" s="182"/>
      <c r="G3" s="182"/>
      <c r="H3" s="182"/>
      <c r="I3" s="182"/>
      <c r="J3" s="182"/>
      <c r="K3" s="182" t="s">
        <v>4</v>
      </c>
      <c r="L3" s="182"/>
      <c r="M3" s="182"/>
    </row>
    <row r="4" spans="2:13" ht="12.75">
      <c r="B4" s="17">
        <v>1</v>
      </c>
      <c r="C4" s="19">
        <v>2</v>
      </c>
      <c r="D4" s="19">
        <v>3</v>
      </c>
      <c r="E4" s="19">
        <v>4</v>
      </c>
      <c r="F4" s="17">
        <v>5</v>
      </c>
      <c r="G4" s="19">
        <v>6</v>
      </c>
      <c r="H4" s="17">
        <v>7</v>
      </c>
      <c r="I4" s="19">
        <v>8</v>
      </c>
      <c r="J4" s="17">
        <v>9</v>
      </c>
      <c r="K4" s="19">
        <v>10</v>
      </c>
      <c r="L4" s="17">
        <v>11</v>
      </c>
      <c r="M4" s="19">
        <v>12</v>
      </c>
    </row>
    <row r="5" spans="2:13" ht="12.75">
      <c r="B5" s="83" t="s">
        <v>5</v>
      </c>
      <c r="C5" s="84">
        <f>104541690970.11</f>
        <v>104541690970.11</v>
      </c>
      <c r="D5" s="84">
        <f>54499033938.95</f>
        <v>54499033938.95</v>
      </c>
      <c r="E5" s="84">
        <f>51513514616.32</f>
        <v>51513514616.32</v>
      </c>
      <c r="F5" s="84">
        <f>282281880.93</f>
        <v>282281880.93</v>
      </c>
      <c r="G5" s="84">
        <f>68667482.37</f>
        <v>68667482.37</v>
      </c>
      <c r="H5" s="84">
        <f>22624574.41</f>
        <v>22624574.41</v>
      </c>
      <c r="I5" s="84">
        <f>99774897.33</f>
        <v>99774897.33</v>
      </c>
      <c r="J5" s="84">
        <f>495437.21</f>
        <v>495437.21</v>
      </c>
      <c r="K5" s="85">
        <f aca="true" t="shared" si="0" ref="K5:K63">IF($D$5=0,"",100*$D5/$D$5)</f>
        <v>100</v>
      </c>
      <c r="L5" s="85">
        <f aca="true" t="shared" si="1" ref="L5:L63">IF(C5=0,"",100*D5/C5)</f>
        <v>52.131387423733244</v>
      </c>
      <c r="M5" s="85"/>
    </row>
    <row r="6" spans="2:13" ht="25.5" customHeight="1">
      <c r="B6" s="83" t="s">
        <v>248</v>
      </c>
      <c r="C6" s="84">
        <f>C5-C23-C50</f>
        <v>58588497452.42</v>
      </c>
      <c r="D6" s="84">
        <f>D5-D23-D50</f>
        <v>30501678499.449997</v>
      </c>
      <c r="E6" s="84">
        <f>E5-E23-E50</f>
        <v>28975350576.83</v>
      </c>
      <c r="F6" s="84">
        <f>F5</f>
        <v>282281880.93</v>
      </c>
      <c r="G6" s="84">
        <f>G5</f>
        <v>68667482.37</v>
      </c>
      <c r="H6" s="84">
        <f>H5</f>
        <v>22624574.41</v>
      </c>
      <c r="I6" s="84">
        <f>I5</f>
        <v>99774897.33</v>
      </c>
      <c r="J6" s="84">
        <f>J5</f>
        <v>495437.21</v>
      </c>
      <c r="K6" s="85">
        <f t="shared" si="0"/>
        <v>55.96737463937082</v>
      </c>
      <c r="L6" s="85">
        <f t="shared" si="1"/>
        <v>52.06086488942741</v>
      </c>
      <c r="M6" s="85">
        <f aca="true" t="shared" si="2" ref="M6:M22">IF($D$6=0,"",100*$D6/$D$6)</f>
        <v>100</v>
      </c>
    </row>
    <row r="7" spans="2:13" ht="33.75">
      <c r="B7" s="86" t="s">
        <v>249</v>
      </c>
      <c r="C7" s="87">
        <f>1881608474</f>
        <v>1881608474</v>
      </c>
      <c r="D7" s="87">
        <f>1314121108.33</f>
        <v>1314121108.33</v>
      </c>
      <c r="E7" s="87">
        <f>1133361865.46</f>
        <v>1133361865.46</v>
      </c>
      <c r="F7" s="87">
        <f>0</f>
        <v>0</v>
      </c>
      <c r="G7" s="87">
        <f>0</f>
        <v>0</v>
      </c>
      <c r="H7" s="87">
        <f>0</f>
        <v>0</v>
      </c>
      <c r="I7" s="87">
        <f>0</f>
        <v>0</v>
      </c>
      <c r="J7" s="87">
        <f>0</f>
        <v>0</v>
      </c>
      <c r="K7" s="88">
        <f t="shared" si="0"/>
        <v>2.4112741334132326</v>
      </c>
      <c r="L7" s="88">
        <f t="shared" si="1"/>
        <v>69.84030559430825</v>
      </c>
      <c r="M7" s="88">
        <f t="shared" si="2"/>
        <v>4.308356697005039</v>
      </c>
    </row>
    <row r="8" spans="2:13" ht="33.75">
      <c r="B8" s="89" t="s">
        <v>250</v>
      </c>
      <c r="C8" s="90">
        <f>505315056.05</f>
        <v>505315056.05</v>
      </c>
      <c r="D8" s="90">
        <f>274219285.52</f>
        <v>274219285.52</v>
      </c>
      <c r="E8" s="90">
        <f>236485571.73</f>
        <v>236485571.73</v>
      </c>
      <c r="F8" s="90">
        <f>0</f>
        <v>0</v>
      </c>
      <c r="G8" s="90">
        <f>0</f>
        <v>0</v>
      </c>
      <c r="H8" s="90">
        <f>0</f>
        <v>0</v>
      </c>
      <c r="I8" s="90">
        <f>0</f>
        <v>0</v>
      </c>
      <c r="J8" s="90">
        <f>0</f>
        <v>0</v>
      </c>
      <c r="K8" s="88">
        <f t="shared" si="0"/>
        <v>0.5031635713528085</v>
      </c>
      <c r="L8" s="88">
        <f t="shared" si="1"/>
        <v>54.26699288628885</v>
      </c>
      <c r="M8" s="88">
        <f t="shared" si="2"/>
        <v>0.899030148537382</v>
      </c>
    </row>
    <row r="9" spans="2:13" ht="33.75">
      <c r="B9" s="89" t="s">
        <v>251</v>
      </c>
      <c r="C9" s="90">
        <f>19861912784</f>
        <v>19861912784</v>
      </c>
      <c r="D9" s="90">
        <f>9699556707</f>
        <v>9699556707</v>
      </c>
      <c r="E9" s="90">
        <f>8784216685</f>
        <v>8784216685</v>
      </c>
      <c r="F9" s="90">
        <f>0</f>
        <v>0</v>
      </c>
      <c r="G9" s="90">
        <f>0</f>
        <v>0</v>
      </c>
      <c r="H9" s="90">
        <f>0</f>
        <v>0</v>
      </c>
      <c r="I9" s="90">
        <f>0</f>
        <v>0</v>
      </c>
      <c r="J9" s="90">
        <f>0</f>
        <v>0</v>
      </c>
      <c r="K9" s="88">
        <f t="shared" si="0"/>
        <v>17.79766723546967</v>
      </c>
      <c r="L9" s="88">
        <f t="shared" si="1"/>
        <v>48.834957702631705</v>
      </c>
      <c r="M9" s="88">
        <f t="shared" si="2"/>
        <v>31.800075222663242</v>
      </c>
    </row>
    <row r="10" spans="2:13" ht="33.75">
      <c r="B10" s="89" t="s">
        <v>252</v>
      </c>
      <c r="C10" s="90">
        <f>5317008541</f>
        <v>5317008541</v>
      </c>
      <c r="D10" s="90">
        <f>2600561978</f>
        <v>2600561978</v>
      </c>
      <c r="E10" s="90">
        <f>2355575235</f>
        <v>2355575235</v>
      </c>
      <c r="F10" s="90">
        <f>0</f>
        <v>0</v>
      </c>
      <c r="G10" s="90">
        <f>0</f>
        <v>0</v>
      </c>
      <c r="H10" s="90">
        <f>0</f>
        <v>0</v>
      </c>
      <c r="I10" s="90">
        <f>0</f>
        <v>0</v>
      </c>
      <c r="J10" s="90">
        <f>0</f>
        <v>0</v>
      </c>
      <c r="K10" s="88">
        <f t="shared" si="0"/>
        <v>4.771757937788692</v>
      </c>
      <c r="L10" s="88">
        <f t="shared" si="1"/>
        <v>48.910246390367796</v>
      </c>
      <c r="M10" s="88">
        <f t="shared" si="2"/>
        <v>8.525963507375153</v>
      </c>
    </row>
    <row r="11" spans="2:13" ht="12.75">
      <c r="B11" s="89" t="s">
        <v>70</v>
      </c>
      <c r="C11" s="90">
        <f>22447126</f>
        <v>22447126</v>
      </c>
      <c r="D11" s="90">
        <f>15910324.89</f>
        <v>15910324.89</v>
      </c>
      <c r="E11" s="90">
        <f>15908845.38</f>
        <v>15908845.38</v>
      </c>
      <c r="F11" s="90">
        <f>510371</f>
        <v>510371</v>
      </c>
      <c r="G11" s="90">
        <f>3531.91</f>
        <v>3531.91</v>
      </c>
      <c r="H11" s="90">
        <f>7542.99</f>
        <v>7542.99</v>
      </c>
      <c r="I11" s="90">
        <f>40607.26</f>
        <v>40607.26</v>
      </c>
      <c r="J11" s="90">
        <f>0</f>
        <v>0</v>
      </c>
      <c r="K11" s="88">
        <f t="shared" si="0"/>
        <v>0.029193774164552714</v>
      </c>
      <c r="L11" s="88">
        <f t="shared" si="1"/>
        <v>70.87911784341568</v>
      </c>
      <c r="M11" s="88">
        <f t="shared" si="2"/>
        <v>0.052162129012955444</v>
      </c>
    </row>
    <row r="12" spans="2:13" ht="12.75">
      <c r="B12" s="89" t="s">
        <v>71</v>
      </c>
      <c r="C12" s="90">
        <f>9768758131.06</f>
        <v>9768758131.06</v>
      </c>
      <c r="D12" s="91">
        <f>5211871798.41</f>
        <v>5211871798.41</v>
      </c>
      <c r="E12" s="90">
        <f>5211796261.8</f>
        <v>5211796261.8</v>
      </c>
      <c r="F12" s="90">
        <f>132283523.62</f>
        <v>132283523.62</v>
      </c>
      <c r="G12" s="90">
        <f>63798026.14</f>
        <v>63798026.14</v>
      </c>
      <c r="H12" s="90">
        <f>20213865.22</f>
        <v>20213865.22</v>
      </c>
      <c r="I12" s="90">
        <f>88289023.62</f>
        <v>88289023.62</v>
      </c>
      <c r="J12" s="90">
        <f>416699.18</f>
        <v>416699.18</v>
      </c>
      <c r="K12" s="88">
        <f t="shared" si="0"/>
        <v>9.563237036914005</v>
      </c>
      <c r="L12" s="88">
        <f t="shared" si="1"/>
        <v>53.352450009369456</v>
      </c>
      <c r="M12" s="88">
        <f t="shared" si="2"/>
        <v>17.087163903140542</v>
      </c>
    </row>
    <row r="13" spans="2:13" ht="12.75">
      <c r="B13" s="89" t="s">
        <v>72</v>
      </c>
      <c r="C13" s="90">
        <f>4638957</f>
        <v>4638957</v>
      </c>
      <c r="D13" s="91">
        <f>2561781.73</f>
        <v>2561781.73</v>
      </c>
      <c r="E13" s="90">
        <f>2561771.46</f>
        <v>2561771.46</v>
      </c>
      <c r="F13" s="90">
        <f>0</f>
        <v>0</v>
      </c>
      <c r="G13" s="90">
        <f>13189.83</f>
        <v>13189.83</v>
      </c>
      <c r="H13" s="90">
        <f>1451.4</f>
        <v>1451.4</v>
      </c>
      <c r="I13" s="90">
        <f>-65.92</f>
        <v>-65.92</v>
      </c>
      <c r="J13" s="90">
        <f>0</f>
        <v>0</v>
      </c>
      <c r="K13" s="88">
        <f t="shared" si="0"/>
        <v>0.004700600258106807</v>
      </c>
      <c r="L13" s="88">
        <f t="shared" si="1"/>
        <v>55.22322647095026</v>
      </c>
      <c r="M13" s="88">
        <f t="shared" si="2"/>
        <v>0.008398822150217714</v>
      </c>
    </row>
    <row r="14" spans="2:13" ht="22.5">
      <c r="B14" s="89" t="s">
        <v>73</v>
      </c>
      <c r="C14" s="90">
        <f>354420750</f>
        <v>354420750</v>
      </c>
      <c r="D14" s="91">
        <f>185043733.67</f>
        <v>185043733.67</v>
      </c>
      <c r="E14" s="90">
        <f>185042152.3</f>
        <v>185042152.3</v>
      </c>
      <c r="F14" s="90">
        <f>149142632.32</f>
        <v>149142632.32</v>
      </c>
      <c r="G14" s="90">
        <f>86079.16</f>
        <v>86079.16</v>
      </c>
      <c r="H14" s="90">
        <f>244475.23</f>
        <v>244475.23</v>
      </c>
      <c r="I14" s="90">
        <f>1353152</f>
        <v>1353152</v>
      </c>
      <c r="J14" s="90">
        <f>0</f>
        <v>0</v>
      </c>
      <c r="K14" s="88">
        <f t="shared" si="0"/>
        <v>0.3395358051250718</v>
      </c>
      <c r="L14" s="88">
        <f t="shared" si="1"/>
        <v>52.210186246149526</v>
      </c>
      <c r="M14" s="88">
        <f t="shared" si="2"/>
        <v>0.6066673795454788</v>
      </c>
    </row>
    <row r="15" spans="2:13" ht="33.75">
      <c r="B15" s="89" t="s">
        <v>188</v>
      </c>
      <c r="C15" s="90">
        <f>29427255</f>
        <v>29427255</v>
      </c>
      <c r="D15" s="91">
        <f>35725328.83</f>
        <v>35725328.83</v>
      </c>
      <c r="E15" s="90">
        <f>32769258.14</f>
        <v>32769258.14</v>
      </c>
      <c r="F15" s="90">
        <f>0</f>
        <v>0</v>
      </c>
      <c r="G15" s="90">
        <f>0</f>
        <v>0</v>
      </c>
      <c r="H15" s="90">
        <f>36864.95</f>
        <v>36864.95</v>
      </c>
      <c r="I15" s="90">
        <f>118033.45</f>
        <v>118033.45</v>
      </c>
      <c r="J15" s="90">
        <f>0</f>
        <v>0</v>
      </c>
      <c r="K15" s="88">
        <f t="shared" si="0"/>
        <v>0.0655522240449613</v>
      </c>
      <c r="L15" s="88">
        <f t="shared" si="1"/>
        <v>121.40217913631427</v>
      </c>
      <c r="M15" s="88">
        <f t="shared" si="2"/>
        <v>0.11712577991615837</v>
      </c>
    </row>
    <row r="16" spans="2:13" ht="22.5" customHeight="1">
      <c r="B16" s="89" t="s">
        <v>150</v>
      </c>
      <c r="C16" s="90">
        <f>166452679.11</f>
        <v>166452679.11</v>
      </c>
      <c r="D16" s="91">
        <f>98127371.38</f>
        <v>98127371.38</v>
      </c>
      <c r="E16" s="90">
        <f>94578362.85</f>
        <v>94578362.85</v>
      </c>
      <c r="F16" s="90">
        <f>0</f>
        <v>0</v>
      </c>
      <c r="G16" s="90">
        <f>0</f>
        <v>0</v>
      </c>
      <c r="H16" s="90">
        <f>490582.84</f>
        <v>490582.84</v>
      </c>
      <c r="I16" s="90">
        <f>3508618.39</f>
        <v>3508618.39</v>
      </c>
      <c r="J16" s="90">
        <f>0</f>
        <v>0</v>
      </c>
      <c r="K16" s="88">
        <f t="shared" si="0"/>
        <v>0.18005341432276142</v>
      </c>
      <c r="L16" s="88">
        <f t="shared" si="1"/>
        <v>58.95211293964975</v>
      </c>
      <c r="M16" s="88">
        <f t="shared" si="2"/>
        <v>0.3217113818236902</v>
      </c>
    </row>
    <row r="17" spans="2:13" ht="22.5" customHeight="1">
      <c r="B17" s="89" t="s">
        <v>151</v>
      </c>
      <c r="C17" s="90">
        <f>1533971730</f>
        <v>1533971730</v>
      </c>
      <c r="D17" s="91">
        <f>1117125021.99</f>
        <v>1117125021.99</v>
      </c>
      <c r="E17" s="90">
        <f>1083702665.63</f>
        <v>1083702665.63</v>
      </c>
      <c r="F17" s="90">
        <f>0</f>
        <v>0</v>
      </c>
      <c r="G17" s="90">
        <f>0</f>
        <v>0</v>
      </c>
      <c r="H17" s="90">
        <f>49174</f>
        <v>49174</v>
      </c>
      <c r="I17" s="90">
        <f>55119.48</f>
        <v>55119.48</v>
      </c>
      <c r="J17" s="90">
        <f>0</f>
        <v>0</v>
      </c>
      <c r="K17" s="88">
        <f t="shared" si="0"/>
        <v>2.0498070172058593</v>
      </c>
      <c r="L17" s="88">
        <f t="shared" si="1"/>
        <v>72.82565904848846</v>
      </c>
      <c r="M17" s="88">
        <f t="shared" si="2"/>
        <v>3.66250343242633</v>
      </c>
    </row>
    <row r="18" spans="2:13" ht="12.75">
      <c r="B18" s="89" t="s">
        <v>223</v>
      </c>
      <c r="C18" s="90">
        <f>317272715</f>
        <v>317272715</v>
      </c>
      <c r="D18" s="91">
        <f>178207452.83</f>
        <v>178207452.83</v>
      </c>
      <c r="E18" s="90">
        <f>178073267.14</f>
        <v>178073267.14</v>
      </c>
      <c r="F18" s="90">
        <f>0</f>
        <v>0</v>
      </c>
      <c r="G18" s="90">
        <f>0</f>
        <v>0</v>
      </c>
      <c r="H18" s="90">
        <f>4330</f>
        <v>4330</v>
      </c>
      <c r="I18" s="90">
        <f>0</f>
        <v>0</v>
      </c>
      <c r="J18" s="90">
        <f>0</f>
        <v>0</v>
      </c>
      <c r="K18" s="88">
        <f t="shared" si="0"/>
        <v>0.32699194820522615</v>
      </c>
      <c r="L18" s="88">
        <f t="shared" si="1"/>
        <v>56.168540313969324</v>
      </c>
      <c r="M18" s="88">
        <f t="shared" si="2"/>
        <v>0.5842545774430525</v>
      </c>
    </row>
    <row r="19" spans="2:13" ht="12.75">
      <c r="B19" s="89" t="s">
        <v>224</v>
      </c>
      <c r="C19" s="90">
        <f>9580706</f>
        <v>9580706</v>
      </c>
      <c r="D19" s="91">
        <f>4772697.38</f>
        <v>4772697.38</v>
      </c>
      <c r="E19" s="90">
        <f>4772697.38</f>
        <v>4772697.38</v>
      </c>
      <c r="F19" s="90">
        <f>0</f>
        <v>0</v>
      </c>
      <c r="G19" s="90">
        <f>0</f>
        <v>0</v>
      </c>
      <c r="H19" s="90">
        <f>0</f>
        <v>0</v>
      </c>
      <c r="I19" s="90">
        <f>0</f>
        <v>0</v>
      </c>
      <c r="J19" s="90">
        <f>0</f>
        <v>0</v>
      </c>
      <c r="K19" s="88">
        <f t="shared" si="0"/>
        <v>0.00875739813176577</v>
      </c>
      <c r="L19" s="88">
        <f t="shared" si="1"/>
        <v>49.815716921070326</v>
      </c>
      <c r="M19" s="88">
        <f t="shared" si="2"/>
        <v>0.015647327015416743</v>
      </c>
    </row>
    <row r="20" spans="2:13" ht="12.75">
      <c r="B20" s="89" t="s">
        <v>225</v>
      </c>
      <c r="C20" s="90">
        <f>717802</f>
        <v>717802</v>
      </c>
      <c r="D20" s="91">
        <f>303061.17</f>
        <v>303061.17</v>
      </c>
      <c r="E20" s="90">
        <f>303061.17</f>
        <v>303061.17</v>
      </c>
      <c r="F20" s="90">
        <f>0</f>
        <v>0</v>
      </c>
      <c r="G20" s="90">
        <f>0</f>
        <v>0</v>
      </c>
      <c r="H20" s="90">
        <f>782.5</f>
        <v>782.5</v>
      </c>
      <c r="I20" s="90">
        <f>7756.5</f>
        <v>7756.5</v>
      </c>
      <c r="J20" s="90">
        <f>0</f>
        <v>0</v>
      </c>
      <c r="K20" s="88">
        <f t="shared" si="0"/>
        <v>0.0005560853983934654</v>
      </c>
      <c r="L20" s="88">
        <f t="shared" si="1"/>
        <v>42.22071964134956</v>
      </c>
      <c r="M20" s="88">
        <f t="shared" si="2"/>
        <v>0.0009935885004015918</v>
      </c>
    </row>
    <row r="21" spans="2:13" ht="12.75">
      <c r="B21" s="89" t="s">
        <v>74</v>
      </c>
      <c r="C21" s="90">
        <f>4965956449.34</f>
        <v>4965956449.34</v>
      </c>
      <c r="D21" s="91">
        <f>2332646372.52</f>
        <v>2332646372.52</v>
      </c>
      <c r="E21" s="90">
        <f>2332277427.37</f>
        <v>2332277427.37</v>
      </c>
      <c r="F21" s="90">
        <f>0</f>
        <v>0</v>
      </c>
      <c r="G21" s="90">
        <f>0</f>
        <v>0</v>
      </c>
      <c r="H21" s="90">
        <f>0</f>
        <v>0</v>
      </c>
      <c r="I21" s="90">
        <f>0</f>
        <v>0</v>
      </c>
      <c r="J21" s="90">
        <f>0</f>
        <v>0</v>
      </c>
      <c r="K21" s="88">
        <f t="shared" si="0"/>
        <v>4.280160956858499</v>
      </c>
      <c r="L21" s="88">
        <f t="shared" si="1"/>
        <v>46.972751298091225</v>
      </c>
      <c r="M21" s="88">
        <f t="shared" si="2"/>
        <v>7.647600024903751</v>
      </c>
    </row>
    <row r="22" spans="2:13" ht="13.5" customHeight="1">
      <c r="B22" s="89" t="s">
        <v>75</v>
      </c>
      <c r="C22" s="90">
        <f>C6-SUM(C7:C21)</f>
        <v>13849008296.86</v>
      </c>
      <c r="D22" s="90">
        <f aca="true" t="shared" si="3" ref="D22:J22">D6-SUM(D7:D21)</f>
        <v>7430924475.799992</v>
      </c>
      <c r="E22" s="90">
        <f t="shared" si="3"/>
        <v>7323925449.020008</v>
      </c>
      <c r="F22" s="90">
        <f t="shared" si="3"/>
        <v>345353.99000000954</v>
      </c>
      <c r="G22" s="90">
        <f t="shared" si="3"/>
        <v>4766655.330000013</v>
      </c>
      <c r="H22" s="90">
        <f t="shared" si="3"/>
        <v>1575505.280000005</v>
      </c>
      <c r="I22" s="90">
        <f t="shared" si="3"/>
        <v>6402652.549999982</v>
      </c>
      <c r="J22" s="90">
        <f t="shared" si="3"/>
        <v>78738.03000000003</v>
      </c>
      <c r="K22" s="88">
        <f t="shared" si="0"/>
        <v>13.634965500717202</v>
      </c>
      <c r="L22" s="88">
        <f t="shared" si="1"/>
        <v>53.65672629053744</v>
      </c>
      <c r="M22" s="88">
        <f t="shared" si="2"/>
        <v>24.36234607854117</v>
      </c>
    </row>
    <row r="23" spans="2:13" ht="26.25" customHeight="1">
      <c r="B23" s="83" t="s">
        <v>313</v>
      </c>
      <c r="C23" s="84">
        <f>C24+C46+C48</f>
        <v>26531133321.690002</v>
      </c>
      <c r="D23" s="84">
        <f>D24+D46+D48</f>
        <v>12265627851.5</v>
      </c>
      <c r="E23" s="84">
        <f>E24+E46+E48</f>
        <v>12177807487.490002</v>
      </c>
      <c r="F23" s="92" t="s">
        <v>247</v>
      </c>
      <c r="G23" s="92" t="s">
        <v>247</v>
      </c>
      <c r="H23" s="92" t="s">
        <v>247</v>
      </c>
      <c r="I23" s="92" t="s">
        <v>247</v>
      </c>
      <c r="J23" s="92" t="s">
        <v>247</v>
      </c>
      <c r="K23" s="85">
        <f t="shared" si="0"/>
        <v>22.506138118411418</v>
      </c>
      <c r="L23" s="85">
        <f t="shared" si="1"/>
        <v>46.231073896389034</v>
      </c>
      <c r="M23" s="93"/>
    </row>
    <row r="24" spans="2:13" ht="25.5" customHeight="1">
      <c r="B24" s="83" t="s">
        <v>253</v>
      </c>
      <c r="C24" s="84">
        <f>C25+C32+C39</f>
        <v>19677192993.15</v>
      </c>
      <c r="D24" s="84">
        <f>D25+D32+D39</f>
        <v>10288695109.869999</v>
      </c>
      <c r="E24" s="84">
        <f>E25+E32+E39</f>
        <v>10204985693</v>
      </c>
      <c r="F24" s="92" t="s">
        <v>247</v>
      </c>
      <c r="G24" s="92" t="s">
        <v>247</v>
      </c>
      <c r="H24" s="92" t="s">
        <v>247</v>
      </c>
      <c r="I24" s="92" t="s">
        <v>247</v>
      </c>
      <c r="J24" s="92" t="s">
        <v>247</v>
      </c>
      <c r="K24" s="85">
        <f t="shared" si="0"/>
        <v>18.878674292457056</v>
      </c>
      <c r="L24" s="85">
        <f t="shared" si="1"/>
        <v>52.287412708975744</v>
      </c>
      <c r="M24" s="94"/>
    </row>
    <row r="25" spans="2:13" ht="13.5" customHeight="1">
      <c r="B25" s="95" t="s">
        <v>226</v>
      </c>
      <c r="C25" s="84">
        <f>C26+C28+C30</f>
        <v>16948737091.670002</v>
      </c>
      <c r="D25" s="84">
        <f>D26+D28+D30</f>
        <v>8819964836.07</v>
      </c>
      <c r="E25" s="84">
        <f>E26+E28+E30</f>
        <v>8802931577.48</v>
      </c>
      <c r="F25" s="92" t="s">
        <v>247</v>
      </c>
      <c r="G25" s="92" t="s">
        <v>247</v>
      </c>
      <c r="H25" s="92" t="s">
        <v>247</v>
      </c>
      <c r="I25" s="92" t="s">
        <v>247</v>
      </c>
      <c r="J25" s="92" t="s">
        <v>247</v>
      </c>
      <c r="K25" s="85">
        <f t="shared" si="0"/>
        <v>16.183708588211225</v>
      </c>
      <c r="L25" s="85">
        <f t="shared" si="1"/>
        <v>52.03906809319057</v>
      </c>
      <c r="M25" s="94"/>
    </row>
    <row r="26" spans="2:13" ht="22.5" customHeight="1">
      <c r="B26" s="89" t="s">
        <v>9</v>
      </c>
      <c r="C26" s="87">
        <f>15567648444.44</f>
        <v>15567648444.44</v>
      </c>
      <c r="D26" s="96">
        <f>8119748634</f>
        <v>8119748634</v>
      </c>
      <c r="E26" s="87">
        <f>8109684224.98</f>
        <v>8109684224.98</v>
      </c>
      <c r="F26" s="87" t="s">
        <v>247</v>
      </c>
      <c r="G26" s="87" t="s">
        <v>247</v>
      </c>
      <c r="H26" s="87" t="s">
        <v>247</v>
      </c>
      <c r="I26" s="87" t="s">
        <v>247</v>
      </c>
      <c r="J26" s="87" t="s">
        <v>247</v>
      </c>
      <c r="K26" s="88">
        <f t="shared" si="0"/>
        <v>14.898885442805776</v>
      </c>
      <c r="L26" s="88">
        <f t="shared" si="1"/>
        <v>52.15783657357689</v>
      </c>
      <c r="M26" s="94"/>
    </row>
    <row r="27" spans="2:13" ht="12.75">
      <c r="B27" s="89" t="s">
        <v>6</v>
      </c>
      <c r="C27" s="90">
        <f>2738251.36</f>
        <v>2738251.36</v>
      </c>
      <c r="D27" s="90">
        <f>13652</f>
        <v>13652</v>
      </c>
      <c r="E27" s="90">
        <f>13652</f>
        <v>13652</v>
      </c>
      <c r="F27" s="90" t="s">
        <v>247</v>
      </c>
      <c r="G27" s="90" t="s">
        <v>247</v>
      </c>
      <c r="H27" s="90" t="s">
        <v>247</v>
      </c>
      <c r="I27" s="90" t="s">
        <v>247</v>
      </c>
      <c r="J27" s="90" t="s">
        <v>247</v>
      </c>
      <c r="K27" s="88">
        <f t="shared" si="0"/>
        <v>2.50499853177086E-05</v>
      </c>
      <c r="L27" s="88">
        <f t="shared" si="1"/>
        <v>0.4985663551354906</v>
      </c>
      <c r="M27" s="94"/>
    </row>
    <row r="28" spans="2:13" ht="13.5" customHeight="1">
      <c r="B28" s="89" t="s">
        <v>7</v>
      </c>
      <c r="C28" s="90">
        <f>1365033324.71</f>
        <v>1365033324.71</v>
      </c>
      <c r="D28" s="91">
        <f>691163822.6</f>
        <v>691163822.6</v>
      </c>
      <c r="E28" s="90">
        <f>684456717.23</f>
        <v>684456717.23</v>
      </c>
      <c r="F28" s="90" t="s">
        <v>247</v>
      </c>
      <c r="G28" s="90" t="s">
        <v>247</v>
      </c>
      <c r="H28" s="90" t="s">
        <v>247</v>
      </c>
      <c r="I28" s="90" t="s">
        <v>247</v>
      </c>
      <c r="J28" s="90" t="s">
        <v>247</v>
      </c>
      <c r="K28" s="88">
        <f t="shared" si="0"/>
        <v>1.2682129803883204</v>
      </c>
      <c r="L28" s="88">
        <f t="shared" si="1"/>
        <v>50.63347612753975</v>
      </c>
      <c r="M28" s="94"/>
    </row>
    <row r="29" spans="2:13" ht="12.75">
      <c r="B29" s="89" t="s">
        <v>6</v>
      </c>
      <c r="C29" s="90">
        <f>37587358</f>
        <v>37587358</v>
      </c>
      <c r="D29" s="90">
        <f>8673826.99</f>
        <v>8673826.99</v>
      </c>
      <c r="E29" s="90">
        <f>8672642.99</f>
        <v>8672642.99</v>
      </c>
      <c r="F29" s="90" t="s">
        <v>247</v>
      </c>
      <c r="G29" s="90" t="s">
        <v>247</v>
      </c>
      <c r="H29" s="90" t="s">
        <v>247</v>
      </c>
      <c r="I29" s="90" t="s">
        <v>247</v>
      </c>
      <c r="J29" s="90" t="s">
        <v>247</v>
      </c>
      <c r="K29" s="88">
        <f t="shared" si="0"/>
        <v>0.01591556099823063</v>
      </c>
      <c r="L29" s="88">
        <f t="shared" si="1"/>
        <v>23.076447644976803</v>
      </c>
      <c r="M29" s="94"/>
    </row>
    <row r="30" spans="2:13" ht="33.75">
      <c r="B30" s="89" t="s">
        <v>10</v>
      </c>
      <c r="C30" s="90">
        <f>16055322.52</f>
        <v>16055322.52</v>
      </c>
      <c r="D30" s="91">
        <f>9052379.47</f>
        <v>9052379.47</v>
      </c>
      <c r="E30" s="90">
        <f>8790635.27</f>
        <v>8790635.27</v>
      </c>
      <c r="F30" s="90" t="s">
        <v>247</v>
      </c>
      <c r="G30" s="90" t="s">
        <v>247</v>
      </c>
      <c r="H30" s="90" t="s">
        <v>247</v>
      </c>
      <c r="I30" s="90" t="s">
        <v>247</v>
      </c>
      <c r="J30" s="90" t="s">
        <v>247</v>
      </c>
      <c r="K30" s="88">
        <f t="shared" si="0"/>
        <v>0.016610165017127657</v>
      </c>
      <c r="L30" s="88">
        <f t="shared" si="1"/>
        <v>56.38242058808546</v>
      </c>
      <c r="M30" s="94"/>
    </row>
    <row r="31" spans="2:13" ht="12.75">
      <c r="B31" s="89" t="s">
        <v>6</v>
      </c>
      <c r="C31" s="90">
        <f>2055208.74</f>
        <v>2055208.74</v>
      </c>
      <c r="D31" s="90">
        <f>2055208.74</f>
        <v>2055208.74</v>
      </c>
      <c r="E31" s="90">
        <f>1946111.94</f>
        <v>1946111.94</v>
      </c>
      <c r="F31" s="90" t="s">
        <v>247</v>
      </c>
      <c r="G31" s="90" t="s">
        <v>247</v>
      </c>
      <c r="H31" s="90" t="s">
        <v>247</v>
      </c>
      <c r="I31" s="90" t="s">
        <v>247</v>
      </c>
      <c r="J31" s="90" t="s">
        <v>247</v>
      </c>
      <c r="K31" s="88">
        <f t="shared" si="0"/>
        <v>0.00377109205697527</v>
      </c>
      <c r="L31" s="88">
        <f t="shared" si="1"/>
        <v>100</v>
      </c>
      <c r="M31" s="94"/>
    </row>
    <row r="32" spans="2:13" ht="13.5" customHeight="1">
      <c r="B32" s="97" t="s">
        <v>227</v>
      </c>
      <c r="C32" s="84">
        <f>C33+C35+C37</f>
        <v>2011154506.1399999</v>
      </c>
      <c r="D32" s="84">
        <f>D33+D35+D37</f>
        <v>1201828429.5700002</v>
      </c>
      <c r="E32" s="84">
        <f>E33+E35+E37</f>
        <v>1136326101.7</v>
      </c>
      <c r="F32" s="92" t="s">
        <v>247</v>
      </c>
      <c r="G32" s="92" t="s">
        <v>247</v>
      </c>
      <c r="H32" s="92" t="s">
        <v>247</v>
      </c>
      <c r="I32" s="92" t="s">
        <v>247</v>
      </c>
      <c r="J32" s="92" t="s">
        <v>247</v>
      </c>
      <c r="K32" s="85">
        <f t="shared" si="0"/>
        <v>2.205228868673695</v>
      </c>
      <c r="L32" s="85">
        <f t="shared" si="1"/>
        <v>59.75813523530145</v>
      </c>
      <c r="M32" s="94"/>
    </row>
    <row r="33" spans="2:13" ht="22.5">
      <c r="B33" s="89" t="s">
        <v>9</v>
      </c>
      <c r="C33" s="90">
        <f>1784692150.22</f>
        <v>1784692150.22</v>
      </c>
      <c r="D33" s="90">
        <f>1077087274.2</f>
        <v>1077087274.2</v>
      </c>
      <c r="E33" s="90">
        <f>1013530481.32</f>
        <v>1013530481.32</v>
      </c>
      <c r="F33" s="90" t="s">
        <v>247</v>
      </c>
      <c r="G33" s="90" t="s">
        <v>247</v>
      </c>
      <c r="H33" s="90" t="s">
        <v>247</v>
      </c>
      <c r="I33" s="90" t="s">
        <v>247</v>
      </c>
      <c r="J33" s="90" t="s">
        <v>247</v>
      </c>
      <c r="K33" s="88">
        <f t="shared" si="0"/>
        <v>1.9763419575593888</v>
      </c>
      <c r="L33" s="88">
        <f t="shared" si="1"/>
        <v>60.35143226618814</v>
      </c>
      <c r="M33" s="94"/>
    </row>
    <row r="34" spans="2:13" ht="12.75">
      <c r="B34" s="89" t="s">
        <v>6</v>
      </c>
      <c r="C34" s="90">
        <f>32499209</f>
        <v>32499209</v>
      </c>
      <c r="D34" s="91">
        <f>13444702.82</f>
        <v>13444702.82</v>
      </c>
      <c r="E34" s="90">
        <f>13443532.24</f>
        <v>13443532.24</v>
      </c>
      <c r="F34" s="90" t="s">
        <v>247</v>
      </c>
      <c r="G34" s="90" t="s">
        <v>247</v>
      </c>
      <c r="H34" s="90" t="s">
        <v>247</v>
      </c>
      <c r="I34" s="90" t="s">
        <v>247</v>
      </c>
      <c r="J34" s="90" t="s">
        <v>247</v>
      </c>
      <c r="K34" s="88">
        <f t="shared" si="0"/>
        <v>0.024669616777172238</v>
      </c>
      <c r="L34" s="88">
        <f t="shared" si="1"/>
        <v>41.369323234913196</v>
      </c>
      <c r="M34" s="94"/>
    </row>
    <row r="35" spans="2:13" ht="13.5" customHeight="1">
      <c r="B35" s="89" t="s">
        <v>7</v>
      </c>
      <c r="C35" s="90">
        <f>171581931.3</f>
        <v>171581931.3</v>
      </c>
      <c r="D35" s="90">
        <f>80966222.68</f>
        <v>80966222.68</v>
      </c>
      <c r="E35" s="90">
        <f>80902602.23</f>
        <v>80902602.23</v>
      </c>
      <c r="F35" s="90" t="s">
        <v>247</v>
      </c>
      <c r="G35" s="90" t="s">
        <v>247</v>
      </c>
      <c r="H35" s="90" t="s">
        <v>247</v>
      </c>
      <c r="I35" s="90" t="s">
        <v>247</v>
      </c>
      <c r="J35" s="90" t="s">
        <v>247</v>
      </c>
      <c r="K35" s="88">
        <f t="shared" si="0"/>
        <v>0.1485645099153476</v>
      </c>
      <c r="L35" s="88">
        <f t="shared" si="1"/>
        <v>47.18808214044156</v>
      </c>
      <c r="M35" s="94"/>
    </row>
    <row r="36" spans="2:13" ht="12.75">
      <c r="B36" s="89" t="s">
        <v>6</v>
      </c>
      <c r="C36" s="90">
        <f>15318466</f>
        <v>15318466</v>
      </c>
      <c r="D36" s="91">
        <f>3903219.3</f>
        <v>3903219.3</v>
      </c>
      <c r="E36" s="90">
        <f>3903219.3</f>
        <v>3903219.3</v>
      </c>
      <c r="F36" s="90" t="s">
        <v>247</v>
      </c>
      <c r="G36" s="90" t="s">
        <v>247</v>
      </c>
      <c r="H36" s="90" t="s">
        <v>247</v>
      </c>
      <c r="I36" s="90" t="s">
        <v>247</v>
      </c>
      <c r="J36" s="90" t="s">
        <v>247</v>
      </c>
      <c r="K36" s="88">
        <f t="shared" si="0"/>
        <v>0.007161997228010316</v>
      </c>
      <c r="L36" s="88">
        <f t="shared" si="1"/>
        <v>25.48048414247223</v>
      </c>
      <c r="M36" s="94"/>
    </row>
    <row r="37" spans="2:13" ht="33.75">
      <c r="B37" s="89" t="s">
        <v>10</v>
      </c>
      <c r="C37" s="90">
        <f>54880424.62</f>
        <v>54880424.62</v>
      </c>
      <c r="D37" s="90">
        <f>43774932.69</f>
        <v>43774932.69</v>
      </c>
      <c r="E37" s="90">
        <f>41893018.15</f>
        <v>41893018.15</v>
      </c>
      <c r="F37" s="90" t="s">
        <v>247</v>
      </c>
      <c r="G37" s="90" t="s">
        <v>247</v>
      </c>
      <c r="H37" s="90" t="s">
        <v>247</v>
      </c>
      <c r="I37" s="90" t="s">
        <v>247</v>
      </c>
      <c r="J37" s="90" t="s">
        <v>247</v>
      </c>
      <c r="K37" s="88">
        <f t="shared" si="0"/>
        <v>0.08032240119895855</v>
      </c>
      <c r="L37" s="88">
        <f t="shared" si="1"/>
        <v>79.7642018863811</v>
      </c>
      <c r="M37" s="94"/>
    </row>
    <row r="38" spans="2:13" ht="12.75">
      <c r="B38" s="89" t="s">
        <v>6</v>
      </c>
      <c r="C38" s="90">
        <f>0</f>
        <v>0</v>
      </c>
      <c r="D38" s="91">
        <f>0</f>
        <v>0</v>
      </c>
      <c r="E38" s="90">
        <f>0</f>
        <v>0</v>
      </c>
      <c r="F38" s="90" t="s">
        <v>247</v>
      </c>
      <c r="G38" s="90" t="s">
        <v>247</v>
      </c>
      <c r="H38" s="90" t="s">
        <v>247</v>
      </c>
      <c r="I38" s="90" t="s">
        <v>247</v>
      </c>
      <c r="J38" s="90" t="s">
        <v>247</v>
      </c>
      <c r="K38" s="88">
        <f t="shared" si="0"/>
        <v>0</v>
      </c>
      <c r="L38" s="88">
        <f t="shared" si="1"/>
      </c>
      <c r="M38" s="94"/>
    </row>
    <row r="39" spans="2:13" ht="13.5" customHeight="1">
      <c r="B39" s="95" t="s">
        <v>228</v>
      </c>
      <c r="C39" s="84">
        <f>C40+C42+C44</f>
        <v>717301395.3399999</v>
      </c>
      <c r="D39" s="84">
        <f>D40+D42+D44</f>
        <v>266901844.22999996</v>
      </c>
      <c r="E39" s="84">
        <f>E40+E42+E44</f>
        <v>265728013.82</v>
      </c>
      <c r="F39" s="92" t="s">
        <v>247</v>
      </c>
      <c r="G39" s="92" t="s">
        <v>247</v>
      </c>
      <c r="H39" s="92" t="s">
        <v>247</v>
      </c>
      <c r="I39" s="92" t="s">
        <v>247</v>
      </c>
      <c r="J39" s="92" t="s">
        <v>247</v>
      </c>
      <c r="K39" s="85">
        <f t="shared" si="0"/>
        <v>0.4897368355721393</v>
      </c>
      <c r="L39" s="85">
        <f t="shared" si="1"/>
        <v>37.20916283781782</v>
      </c>
      <c r="M39" s="94"/>
    </row>
    <row r="40" spans="2:13" ht="22.5">
      <c r="B40" s="89" t="s">
        <v>11</v>
      </c>
      <c r="C40" s="87">
        <f>446829664.94</f>
        <v>446829664.94</v>
      </c>
      <c r="D40" s="96">
        <f>219814925.79</f>
        <v>219814925.79</v>
      </c>
      <c r="E40" s="87">
        <f>218852486.89</f>
        <v>218852486.89</v>
      </c>
      <c r="F40" s="87" t="s">
        <v>247</v>
      </c>
      <c r="G40" s="87" t="s">
        <v>247</v>
      </c>
      <c r="H40" s="87" t="s">
        <v>247</v>
      </c>
      <c r="I40" s="87" t="s">
        <v>247</v>
      </c>
      <c r="J40" s="87" t="s">
        <v>247</v>
      </c>
      <c r="K40" s="88">
        <f t="shared" si="0"/>
        <v>0.40333728857696344</v>
      </c>
      <c r="L40" s="88">
        <f t="shared" si="1"/>
        <v>49.19434474421402</v>
      </c>
      <c r="M40" s="94"/>
    </row>
    <row r="41" spans="2:13" ht="12.75">
      <c r="B41" s="89" t="s">
        <v>6</v>
      </c>
      <c r="C41" s="90">
        <f>1818354.87</f>
        <v>1818354.87</v>
      </c>
      <c r="D41" s="90">
        <f>433536.11</f>
        <v>433536.11</v>
      </c>
      <c r="E41" s="90">
        <f>433536.11</f>
        <v>433536.11</v>
      </c>
      <c r="F41" s="90" t="s">
        <v>247</v>
      </c>
      <c r="G41" s="90" t="s">
        <v>247</v>
      </c>
      <c r="H41" s="90" t="s">
        <v>247</v>
      </c>
      <c r="I41" s="90" t="s">
        <v>247</v>
      </c>
      <c r="J41" s="90" t="s">
        <v>247</v>
      </c>
      <c r="K41" s="88">
        <f t="shared" si="0"/>
        <v>0.000795493201743078</v>
      </c>
      <c r="L41" s="88">
        <f t="shared" si="1"/>
        <v>23.842216783569864</v>
      </c>
      <c r="M41" s="94"/>
    </row>
    <row r="42" spans="2:13" ht="24" customHeight="1">
      <c r="B42" s="89" t="s">
        <v>8</v>
      </c>
      <c r="C42" s="90">
        <f>205897651.86</f>
        <v>205897651.86</v>
      </c>
      <c r="D42" s="91">
        <f>14168284.36</f>
        <v>14168284.36</v>
      </c>
      <c r="E42" s="90">
        <f>14125344.36</f>
        <v>14125344.36</v>
      </c>
      <c r="F42" s="90" t="s">
        <v>247</v>
      </c>
      <c r="G42" s="90" t="s">
        <v>247</v>
      </c>
      <c r="H42" s="90" t="s">
        <v>247</v>
      </c>
      <c r="I42" s="90" t="s">
        <v>247</v>
      </c>
      <c r="J42" s="90" t="s">
        <v>247</v>
      </c>
      <c r="K42" s="88">
        <f t="shared" si="0"/>
        <v>0.025997312862226805</v>
      </c>
      <c r="L42" s="88">
        <f t="shared" si="1"/>
        <v>6.881226780397533</v>
      </c>
      <c r="M42" s="94"/>
    </row>
    <row r="43" spans="2:13" ht="12.75">
      <c r="B43" s="89" t="s">
        <v>6</v>
      </c>
      <c r="C43" s="90">
        <f>132168249.12</f>
        <v>132168249.12</v>
      </c>
      <c r="D43" s="90">
        <f>7624162.17</f>
        <v>7624162.17</v>
      </c>
      <c r="E43" s="90">
        <f>7624162.17</f>
        <v>7624162.17</v>
      </c>
      <c r="F43" s="90" t="s">
        <v>247</v>
      </c>
      <c r="G43" s="90" t="s">
        <v>247</v>
      </c>
      <c r="H43" s="90" t="s">
        <v>247</v>
      </c>
      <c r="I43" s="90" t="s">
        <v>247</v>
      </c>
      <c r="J43" s="90" t="s">
        <v>247</v>
      </c>
      <c r="K43" s="88">
        <f t="shared" si="0"/>
        <v>0.013989536362315362</v>
      </c>
      <c r="L43" s="88">
        <f t="shared" si="1"/>
        <v>5.7685277824008745</v>
      </c>
      <c r="M43" s="94"/>
    </row>
    <row r="44" spans="2:13" ht="33.75">
      <c r="B44" s="89" t="s">
        <v>361</v>
      </c>
      <c r="C44" s="90">
        <f>64574078.54</f>
        <v>64574078.54</v>
      </c>
      <c r="D44" s="90">
        <f>32918634.08</f>
        <v>32918634.08</v>
      </c>
      <c r="E44" s="90">
        <f>32750182.57</f>
        <v>32750182.57</v>
      </c>
      <c r="F44" s="90" t="s">
        <v>247</v>
      </c>
      <c r="G44" s="90" t="s">
        <v>247</v>
      </c>
      <c r="H44" s="90" t="s">
        <v>247</v>
      </c>
      <c r="I44" s="90" t="s">
        <v>247</v>
      </c>
      <c r="J44" s="90" t="s">
        <v>247</v>
      </c>
      <c r="K44" s="88">
        <f t="shared" si="0"/>
        <v>0.06040223413294916</v>
      </c>
      <c r="L44" s="88">
        <f t="shared" si="1"/>
        <v>50.97809341500516</v>
      </c>
      <c r="M44" s="94"/>
    </row>
    <row r="45" spans="2:13" ht="12.75">
      <c r="B45" s="89" t="s">
        <v>6</v>
      </c>
      <c r="C45" s="90">
        <f>52978675.7</f>
        <v>52978675.7</v>
      </c>
      <c r="D45" s="90">
        <f>25812996.24</f>
        <v>25812996.24</v>
      </c>
      <c r="E45" s="90">
        <f>25647044.73</f>
        <v>25647044.73</v>
      </c>
      <c r="F45" s="90" t="s">
        <v>247</v>
      </c>
      <c r="G45" s="90" t="s">
        <v>247</v>
      </c>
      <c r="H45" s="90" t="s">
        <v>247</v>
      </c>
      <c r="I45" s="90" t="s">
        <v>247</v>
      </c>
      <c r="J45" s="90" t="s">
        <v>247</v>
      </c>
      <c r="K45" s="88">
        <f t="shared" si="0"/>
        <v>0.047364135424704606</v>
      </c>
      <c r="L45" s="88">
        <f t="shared" si="1"/>
        <v>48.723370108702056</v>
      </c>
      <c r="M45" s="94"/>
    </row>
    <row r="46" spans="2:13" ht="13.5" customHeight="1">
      <c r="B46" s="83" t="s">
        <v>403</v>
      </c>
      <c r="C46" s="84">
        <f>537309311.38</f>
        <v>537309311.38</v>
      </c>
      <c r="D46" s="84">
        <f>284673298.34</f>
        <v>284673298.34</v>
      </c>
      <c r="E46" s="84">
        <f>284338310.11</f>
        <v>284338310.11</v>
      </c>
      <c r="F46" s="92" t="s">
        <v>247</v>
      </c>
      <c r="G46" s="92" t="s">
        <v>247</v>
      </c>
      <c r="H46" s="92" t="s">
        <v>247</v>
      </c>
      <c r="I46" s="92" t="s">
        <v>247</v>
      </c>
      <c r="J46" s="92" t="s">
        <v>247</v>
      </c>
      <c r="K46" s="85">
        <f t="shared" si="0"/>
        <v>0.5223455862701932</v>
      </c>
      <c r="L46" s="85">
        <f t="shared" si="1"/>
        <v>52.98127024987868</v>
      </c>
      <c r="M46" s="94"/>
    </row>
    <row r="47" spans="2:13" ht="13.5" customHeight="1">
      <c r="B47" s="89" t="s">
        <v>404</v>
      </c>
      <c r="C47" s="90">
        <f>486874846.4</f>
        <v>486874846.4</v>
      </c>
      <c r="D47" s="90">
        <f>262228810.49</f>
        <v>262228810.49</v>
      </c>
      <c r="E47" s="90">
        <f>262122610.49</f>
        <v>262122610.49</v>
      </c>
      <c r="F47" s="90" t="s">
        <v>247</v>
      </c>
      <c r="G47" s="90" t="s">
        <v>247</v>
      </c>
      <c r="H47" s="90" t="s">
        <v>247</v>
      </c>
      <c r="I47" s="90" t="s">
        <v>247</v>
      </c>
      <c r="J47" s="90" t="s">
        <v>247</v>
      </c>
      <c r="K47" s="88">
        <f t="shared" si="0"/>
        <v>0.48116230974616836</v>
      </c>
      <c r="L47" s="88">
        <f t="shared" si="1"/>
        <v>53.859592958836416</v>
      </c>
      <c r="M47" s="94"/>
    </row>
    <row r="48" spans="2:13" ht="13.5" customHeight="1">
      <c r="B48" s="83" t="s">
        <v>405</v>
      </c>
      <c r="C48" s="92">
        <f>6316631017.16</f>
        <v>6316631017.16</v>
      </c>
      <c r="D48" s="92">
        <f>1692259443.29</f>
        <v>1692259443.29</v>
      </c>
      <c r="E48" s="92">
        <f>1688483484.38</f>
        <v>1688483484.38</v>
      </c>
      <c r="F48" s="92" t="s">
        <v>247</v>
      </c>
      <c r="G48" s="92" t="s">
        <v>247</v>
      </c>
      <c r="H48" s="92" t="s">
        <v>247</v>
      </c>
      <c r="I48" s="92" t="s">
        <v>247</v>
      </c>
      <c r="J48" s="92" t="s">
        <v>247</v>
      </c>
      <c r="K48" s="98">
        <f t="shared" si="0"/>
        <v>3.1051182396841654</v>
      </c>
      <c r="L48" s="98">
        <f t="shared" si="1"/>
        <v>26.790538163345992</v>
      </c>
      <c r="M48" s="94"/>
    </row>
    <row r="49" spans="2:13" ht="13.5" customHeight="1">
      <c r="B49" s="99" t="s">
        <v>406</v>
      </c>
      <c r="C49" s="100">
        <f>5609403460.19</f>
        <v>5609403460.19</v>
      </c>
      <c r="D49" s="100">
        <f>1408912056.23</f>
        <v>1408912056.23</v>
      </c>
      <c r="E49" s="100">
        <f>1407544081.13</f>
        <v>1407544081.13</v>
      </c>
      <c r="F49" s="100" t="s">
        <v>247</v>
      </c>
      <c r="G49" s="100" t="s">
        <v>247</v>
      </c>
      <c r="H49" s="100" t="s">
        <v>247</v>
      </c>
      <c r="I49" s="100" t="s">
        <v>247</v>
      </c>
      <c r="J49" s="100" t="s">
        <v>247</v>
      </c>
      <c r="K49" s="101">
        <f t="shared" si="0"/>
        <v>2.585205561273376</v>
      </c>
      <c r="L49" s="101">
        <f t="shared" si="1"/>
        <v>25.11696771731727</v>
      </c>
      <c r="M49" s="94"/>
    </row>
    <row r="50" spans="2:13" s="102" customFormat="1" ht="25.5" customHeight="1">
      <c r="B50" s="83" t="s">
        <v>254</v>
      </c>
      <c r="C50" s="84">
        <f>C51+C52+C53+C57</f>
        <v>19422060196</v>
      </c>
      <c r="D50" s="84">
        <f>D51+D52+D53+D57</f>
        <v>11731727588</v>
      </c>
      <c r="E50" s="84">
        <f>E51+E52+E53+E57</f>
        <v>10360356552</v>
      </c>
      <c r="F50" s="92" t="s">
        <v>247</v>
      </c>
      <c r="G50" s="92" t="s">
        <v>247</v>
      </c>
      <c r="H50" s="92" t="s">
        <v>247</v>
      </c>
      <c r="I50" s="92" t="s">
        <v>247</v>
      </c>
      <c r="J50" s="92" t="s">
        <v>247</v>
      </c>
      <c r="K50" s="85">
        <f t="shared" si="0"/>
        <v>21.52648724221776</v>
      </c>
      <c r="L50" s="85">
        <f t="shared" si="1"/>
        <v>60.40413565609361</v>
      </c>
      <c r="M50" s="103"/>
    </row>
    <row r="51" spans="2:13" ht="13.5" customHeight="1">
      <c r="B51" s="89" t="s">
        <v>191</v>
      </c>
      <c r="C51" s="90">
        <f>17908025198</f>
        <v>17908025198</v>
      </c>
      <c r="D51" s="90">
        <f>11028225428</f>
        <v>11028225428</v>
      </c>
      <c r="E51" s="90">
        <f>9656854392</f>
        <v>9656854392</v>
      </c>
      <c r="F51" s="90" t="s">
        <v>247</v>
      </c>
      <c r="G51" s="90" t="s">
        <v>247</v>
      </c>
      <c r="H51" s="90" t="s">
        <v>247</v>
      </c>
      <c r="I51" s="90" t="s">
        <v>247</v>
      </c>
      <c r="J51" s="90" t="s">
        <v>247</v>
      </c>
      <c r="K51" s="88">
        <f t="shared" si="0"/>
        <v>20.235634709330547</v>
      </c>
      <c r="L51" s="88">
        <f t="shared" si="1"/>
        <v>61.582588286907544</v>
      </c>
      <c r="M51" s="94"/>
    </row>
    <row r="52" spans="2:13" s="102" customFormat="1" ht="12.75">
      <c r="B52" s="89" t="s">
        <v>187</v>
      </c>
      <c r="C52" s="87">
        <f>127952353</f>
        <v>127952353</v>
      </c>
      <c r="D52" s="96">
        <f>12000000</f>
        <v>12000000</v>
      </c>
      <c r="E52" s="87">
        <f>12000000</f>
        <v>12000000</v>
      </c>
      <c r="F52" s="87" t="s">
        <v>247</v>
      </c>
      <c r="G52" s="87" t="s">
        <v>247</v>
      </c>
      <c r="H52" s="87" t="s">
        <v>247</v>
      </c>
      <c r="I52" s="87" t="s">
        <v>247</v>
      </c>
      <c r="J52" s="87" t="s">
        <v>247</v>
      </c>
      <c r="K52" s="88">
        <f t="shared" si="0"/>
        <v>0.022018738925615528</v>
      </c>
      <c r="L52" s="88">
        <f t="shared" si="1"/>
        <v>9.378491070031357</v>
      </c>
      <c r="M52" s="103"/>
    </row>
    <row r="53" spans="2:13" s="102" customFormat="1" ht="25.5" customHeight="1">
      <c r="B53" s="83" t="s">
        <v>229</v>
      </c>
      <c r="C53" s="84">
        <f>C54+C55+C56</f>
        <v>341393611</v>
      </c>
      <c r="D53" s="84">
        <f>D54+D55+D56</f>
        <v>169157640</v>
      </c>
      <c r="E53" s="84">
        <f>E54+E55+E56</f>
        <v>169157640</v>
      </c>
      <c r="F53" s="92" t="s">
        <v>247</v>
      </c>
      <c r="G53" s="92" t="s">
        <v>247</v>
      </c>
      <c r="H53" s="92" t="s">
        <v>247</v>
      </c>
      <c r="I53" s="92" t="s">
        <v>247</v>
      </c>
      <c r="J53" s="92" t="s">
        <v>247</v>
      </c>
      <c r="K53" s="85">
        <f t="shared" si="0"/>
        <v>0.3103864927027715</v>
      </c>
      <c r="L53" s="85">
        <f t="shared" si="1"/>
        <v>49.549152224761464</v>
      </c>
      <c r="M53" s="103"/>
    </row>
    <row r="54" spans="2:13" ht="13.5" customHeight="1">
      <c r="B54" s="89" t="s">
        <v>192</v>
      </c>
      <c r="C54" s="87">
        <f>237866748</f>
        <v>237866748</v>
      </c>
      <c r="D54" s="96">
        <f>118933368</f>
        <v>118933368</v>
      </c>
      <c r="E54" s="87">
        <f>118933368</f>
        <v>118933368</v>
      </c>
      <c r="F54" s="87" t="s">
        <v>247</v>
      </c>
      <c r="G54" s="87" t="s">
        <v>247</v>
      </c>
      <c r="H54" s="87" t="s">
        <v>247</v>
      </c>
      <c r="I54" s="87" t="s">
        <v>247</v>
      </c>
      <c r="J54" s="87" t="s">
        <v>247</v>
      </c>
      <c r="K54" s="88">
        <f t="shared" si="0"/>
        <v>0.218230231628013</v>
      </c>
      <c r="L54" s="88">
        <f t="shared" si="1"/>
        <v>49.999997477579335</v>
      </c>
      <c r="M54" s="94"/>
    </row>
    <row r="55" spans="2:13" ht="13.5" customHeight="1">
      <c r="B55" s="89" t="s">
        <v>190</v>
      </c>
      <c r="C55" s="90">
        <f>3078384</f>
        <v>3078384</v>
      </c>
      <c r="D55" s="90">
        <f>0</f>
        <v>0</v>
      </c>
      <c r="E55" s="90">
        <f>0</f>
        <v>0</v>
      </c>
      <c r="F55" s="90" t="s">
        <v>247</v>
      </c>
      <c r="G55" s="90" t="s">
        <v>247</v>
      </c>
      <c r="H55" s="90" t="s">
        <v>247</v>
      </c>
      <c r="I55" s="90" t="s">
        <v>247</v>
      </c>
      <c r="J55" s="90" t="s">
        <v>247</v>
      </c>
      <c r="K55" s="88">
        <f t="shared" si="0"/>
        <v>0</v>
      </c>
      <c r="L55" s="88">
        <f t="shared" si="1"/>
        <v>0</v>
      </c>
      <c r="M55" s="94"/>
    </row>
    <row r="56" spans="2:13" ht="13.5" customHeight="1">
      <c r="B56" s="89" t="s">
        <v>189</v>
      </c>
      <c r="C56" s="87">
        <f>100448479</f>
        <v>100448479</v>
      </c>
      <c r="D56" s="96">
        <f>50224272</f>
        <v>50224272</v>
      </c>
      <c r="E56" s="87">
        <f>50224272</f>
        <v>50224272</v>
      </c>
      <c r="F56" s="87" t="s">
        <v>247</v>
      </c>
      <c r="G56" s="87" t="s">
        <v>247</v>
      </c>
      <c r="H56" s="87" t="s">
        <v>247</v>
      </c>
      <c r="I56" s="87" t="s">
        <v>247</v>
      </c>
      <c r="J56" s="87" t="s">
        <v>247</v>
      </c>
      <c r="K56" s="88">
        <f t="shared" si="0"/>
        <v>0.0921562610747585</v>
      </c>
      <c r="L56" s="88">
        <f t="shared" si="1"/>
        <v>50.00003235489509</v>
      </c>
      <c r="M56" s="94"/>
    </row>
    <row r="57" spans="2:13" s="102" customFormat="1" ht="25.5" customHeight="1">
      <c r="B57" s="83" t="s">
        <v>230</v>
      </c>
      <c r="C57" s="84">
        <f>C58+C59</f>
        <v>1044689034</v>
      </c>
      <c r="D57" s="84">
        <f>D58+D59</f>
        <v>522344520</v>
      </c>
      <c r="E57" s="84">
        <f>E58+E59</f>
        <v>522344520</v>
      </c>
      <c r="F57" s="92" t="s">
        <v>247</v>
      </c>
      <c r="G57" s="92" t="s">
        <v>247</v>
      </c>
      <c r="H57" s="92" t="s">
        <v>247</v>
      </c>
      <c r="I57" s="92" t="s">
        <v>247</v>
      </c>
      <c r="J57" s="92" t="s">
        <v>247</v>
      </c>
      <c r="K57" s="85">
        <f t="shared" si="0"/>
        <v>0.9584473012588298</v>
      </c>
      <c r="L57" s="85">
        <f t="shared" si="1"/>
        <v>50.00000028716679</v>
      </c>
      <c r="M57" s="103"/>
    </row>
    <row r="58" spans="2:13" ht="13.5" customHeight="1">
      <c r="B58" s="89" t="s">
        <v>189</v>
      </c>
      <c r="C58" s="87">
        <f>912654623</f>
        <v>912654623</v>
      </c>
      <c r="D58" s="96">
        <f>456327312</f>
        <v>456327312</v>
      </c>
      <c r="E58" s="87">
        <f>456327312</f>
        <v>456327312</v>
      </c>
      <c r="F58" s="87" t="s">
        <v>247</v>
      </c>
      <c r="G58" s="87" t="s">
        <v>247</v>
      </c>
      <c r="H58" s="87" t="s">
        <v>247</v>
      </c>
      <c r="I58" s="87" t="s">
        <v>247</v>
      </c>
      <c r="J58" s="87" t="s">
        <v>247</v>
      </c>
      <c r="K58" s="88">
        <f t="shared" si="0"/>
        <v>0.8373126622963251</v>
      </c>
      <c r="L58" s="88">
        <f t="shared" si="1"/>
        <v>50.00000005478524</v>
      </c>
      <c r="M58" s="94"/>
    </row>
    <row r="59" spans="2:13" ht="13.5" customHeight="1">
      <c r="B59" s="89" t="s">
        <v>192</v>
      </c>
      <c r="C59" s="90">
        <f>132034411</f>
        <v>132034411</v>
      </c>
      <c r="D59" s="90">
        <f>66017208</f>
        <v>66017208</v>
      </c>
      <c r="E59" s="90">
        <f>66017208</f>
        <v>66017208</v>
      </c>
      <c r="F59" s="90" t="s">
        <v>247</v>
      </c>
      <c r="G59" s="90" t="s">
        <v>247</v>
      </c>
      <c r="H59" s="90" t="s">
        <v>247</v>
      </c>
      <c r="I59" s="90" t="s">
        <v>247</v>
      </c>
      <c r="J59" s="90" t="s">
        <v>247</v>
      </c>
      <c r="K59" s="88">
        <f t="shared" si="0"/>
        <v>0.12113463896250473</v>
      </c>
      <c r="L59" s="88">
        <f t="shared" si="1"/>
        <v>50.00000189344579</v>
      </c>
      <c r="M59" s="94"/>
    </row>
    <row r="60" spans="2:13" ht="11.25" customHeight="1">
      <c r="B60" s="104"/>
      <c r="C60" s="105"/>
      <c r="D60" s="105"/>
      <c r="E60" s="105"/>
      <c r="F60" s="105"/>
      <c r="G60" s="105"/>
      <c r="H60" s="105"/>
      <c r="I60" s="105"/>
      <c r="J60" s="105"/>
      <c r="K60" s="93"/>
      <c r="L60" s="93"/>
      <c r="M60" s="94"/>
    </row>
    <row r="61" spans="2:13" ht="13.5" customHeight="1">
      <c r="B61" s="83" t="s">
        <v>5</v>
      </c>
      <c r="C61" s="92">
        <f aca="true" t="shared" si="4" ref="C61:J61">+C5</f>
        <v>104541690970.11</v>
      </c>
      <c r="D61" s="92">
        <f t="shared" si="4"/>
        <v>54499033938.95</v>
      </c>
      <c r="E61" s="92">
        <f t="shared" si="4"/>
        <v>51513514616.32</v>
      </c>
      <c r="F61" s="92">
        <f t="shared" si="4"/>
        <v>282281880.93</v>
      </c>
      <c r="G61" s="92">
        <f t="shared" si="4"/>
        <v>68667482.37</v>
      </c>
      <c r="H61" s="92">
        <f t="shared" si="4"/>
        <v>22624574.41</v>
      </c>
      <c r="I61" s="92">
        <f t="shared" si="4"/>
        <v>99774897.33</v>
      </c>
      <c r="J61" s="92">
        <f t="shared" si="4"/>
        <v>495437.21</v>
      </c>
      <c r="K61" s="85">
        <f t="shared" si="0"/>
        <v>100</v>
      </c>
      <c r="L61" s="85">
        <f t="shared" si="1"/>
        <v>52.131387423733244</v>
      </c>
      <c r="M61" s="94"/>
    </row>
    <row r="62" spans="2:13" ht="12.75">
      <c r="B62" s="89" t="s">
        <v>320</v>
      </c>
      <c r="C62" s="90">
        <f>9784243887.87</f>
        <v>9784243887.87</v>
      </c>
      <c r="D62" s="90">
        <f>3432040473.32</f>
        <v>3432040473.32</v>
      </c>
      <c r="E62" s="90">
        <f>3324641124.67</f>
        <v>3324641124.67</v>
      </c>
      <c r="F62" s="90">
        <f>0</f>
        <v>0</v>
      </c>
      <c r="G62" s="90">
        <f>0</f>
        <v>0</v>
      </c>
      <c r="H62" s="90">
        <f>0</f>
        <v>0</v>
      </c>
      <c r="I62" s="90">
        <f>0</f>
        <v>0</v>
      </c>
      <c r="J62" s="90">
        <f>0</f>
        <v>0</v>
      </c>
      <c r="K62" s="88">
        <f t="shared" si="0"/>
        <v>6.297433597014918</v>
      </c>
      <c r="L62" s="88">
        <f t="shared" si="1"/>
        <v>35.07721713248446</v>
      </c>
      <c r="M62" s="94"/>
    </row>
    <row r="63" spans="1:13" s="102" customFormat="1" ht="12.75">
      <c r="A63" s="45"/>
      <c r="B63" s="89" t="s">
        <v>321</v>
      </c>
      <c r="C63" s="90">
        <f>C61-C62</f>
        <v>94757447082.24</v>
      </c>
      <c r="D63" s="90">
        <f aca="true" t="shared" si="5" ref="D63:J63">D61-D62</f>
        <v>51066993465.63</v>
      </c>
      <c r="E63" s="90">
        <f t="shared" si="5"/>
        <v>48188873491.65</v>
      </c>
      <c r="F63" s="90">
        <f t="shared" si="5"/>
        <v>282281880.93</v>
      </c>
      <c r="G63" s="90">
        <f t="shared" si="5"/>
        <v>68667482.37</v>
      </c>
      <c r="H63" s="90">
        <f t="shared" si="5"/>
        <v>22624574.41</v>
      </c>
      <c r="I63" s="90">
        <f t="shared" si="5"/>
        <v>99774897.33</v>
      </c>
      <c r="J63" s="90">
        <f t="shared" si="5"/>
        <v>495437.21</v>
      </c>
      <c r="K63" s="88">
        <f t="shared" si="0"/>
        <v>93.70256640298508</v>
      </c>
      <c r="L63" s="88">
        <f t="shared" si="1"/>
        <v>53.89232723978829</v>
      </c>
      <c r="M63" s="106"/>
    </row>
    <row r="64" spans="2:13" ht="18">
      <c r="B64" s="158" t="str">
        <f>CONCATENATE("Informacja z wykonania budżetów miast na prawach powiatu za ",$D$119," ",$C$120," rok    ",$C$122,"")</f>
        <v>Informacja z wykonania budżetów miast na prawach powiatu za II Kwartały 2021 rok    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</row>
    <row r="65" spans="2:13" s="102" customFormat="1" ht="6" customHeight="1">
      <c r="B65" s="107"/>
      <c r="C65" s="108"/>
      <c r="D65" s="108"/>
      <c r="E65" s="108"/>
      <c r="F65" s="109"/>
      <c r="G65" s="109"/>
      <c r="H65" s="109"/>
      <c r="I65" s="109"/>
      <c r="J65" s="109"/>
      <c r="K65" s="9"/>
      <c r="L65" s="9"/>
      <c r="M65" s="110"/>
    </row>
    <row r="66" spans="2:27" ht="29.25" customHeight="1">
      <c r="B66" s="161" t="s">
        <v>0</v>
      </c>
      <c r="C66" s="160" t="s">
        <v>215</v>
      </c>
      <c r="D66" s="160" t="s">
        <v>216</v>
      </c>
      <c r="E66" s="160" t="s">
        <v>217</v>
      </c>
      <c r="F66" s="160" t="s">
        <v>40</v>
      </c>
      <c r="G66" s="160"/>
      <c r="H66" s="160"/>
      <c r="I66" s="160" t="s">
        <v>396</v>
      </c>
      <c r="J66" s="160"/>
      <c r="K66" s="160" t="s">
        <v>2</v>
      </c>
      <c r="L66" s="163" t="s">
        <v>178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2:27" ht="18" customHeight="1">
      <c r="B67" s="161"/>
      <c r="C67" s="160"/>
      <c r="D67" s="166"/>
      <c r="E67" s="160"/>
      <c r="F67" s="167" t="s">
        <v>218</v>
      </c>
      <c r="G67" s="169" t="s">
        <v>177</v>
      </c>
      <c r="H67" s="166"/>
      <c r="I67" s="160"/>
      <c r="J67" s="160"/>
      <c r="K67" s="160"/>
      <c r="L67" s="163"/>
      <c r="M67" s="11"/>
      <c r="N67" s="12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2:27" ht="36" customHeight="1">
      <c r="B68" s="161"/>
      <c r="C68" s="160"/>
      <c r="D68" s="166"/>
      <c r="E68" s="160"/>
      <c r="F68" s="166"/>
      <c r="G68" s="18" t="s">
        <v>196</v>
      </c>
      <c r="H68" s="18" t="s">
        <v>197</v>
      </c>
      <c r="I68" s="160"/>
      <c r="J68" s="160"/>
      <c r="K68" s="160"/>
      <c r="L68" s="163"/>
      <c r="M68" s="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2:27" ht="13.5" customHeight="1">
      <c r="B69" s="161"/>
      <c r="C69" s="182" t="s">
        <v>338</v>
      </c>
      <c r="D69" s="182"/>
      <c r="E69" s="182"/>
      <c r="F69" s="182"/>
      <c r="G69" s="182"/>
      <c r="H69" s="182"/>
      <c r="I69" s="182"/>
      <c r="J69" s="182"/>
      <c r="K69" s="182" t="s">
        <v>4</v>
      </c>
      <c r="L69" s="182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2:27" ht="11.25" customHeight="1">
      <c r="B70" s="17">
        <v>1</v>
      </c>
      <c r="C70" s="19">
        <v>2</v>
      </c>
      <c r="D70" s="19">
        <v>3</v>
      </c>
      <c r="E70" s="19">
        <v>4</v>
      </c>
      <c r="F70" s="17">
        <v>5</v>
      </c>
      <c r="G70" s="17">
        <v>6</v>
      </c>
      <c r="H70" s="19">
        <v>7</v>
      </c>
      <c r="I70" s="166">
        <v>8</v>
      </c>
      <c r="J70" s="166"/>
      <c r="K70" s="17">
        <v>9</v>
      </c>
      <c r="L70" s="19">
        <v>10</v>
      </c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2:12" ht="25.5" customHeight="1">
      <c r="B71" s="83" t="s">
        <v>255</v>
      </c>
      <c r="C71" s="112">
        <f>115814921083.21</f>
        <v>115814921083.21</v>
      </c>
      <c r="D71" s="112">
        <f>92155170929.8</f>
        <v>92155170929.8</v>
      </c>
      <c r="E71" s="112">
        <f>49709285052.72</f>
        <v>49709285052.72</v>
      </c>
      <c r="F71" s="112">
        <f>3096994429.8</f>
        <v>3096994429.8</v>
      </c>
      <c r="G71" s="112">
        <f>189941.94</f>
        <v>189941.94</v>
      </c>
      <c r="H71" s="112">
        <f>455040.62</f>
        <v>455040.62</v>
      </c>
      <c r="I71" s="170">
        <f>0</f>
        <v>0</v>
      </c>
      <c r="J71" s="170"/>
      <c r="K71" s="113">
        <f aca="true" t="shared" si="6" ref="K71:K80">IF($E$71=0,"",100*$E71/$E$71)</f>
        <v>100</v>
      </c>
      <c r="L71" s="113">
        <f aca="true" t="shared" si="7" ref="L71:L80">IF(C71=0,"",100*E71/C71)</f>
        <v>42.9213132364915</v>
      </c>
    </row>
    <row r="72" spans="2:12" ht="12.75">
      <c r="B72" s="83" t="s">
        <v>42</v>
      </c>
      <c r="C72" s="114">
        <f>23176757003.75</f>
        <v>23176757003.75</v>
      </c>
      <c r="D72" s="114">
        <f>14053364847.06</f>
        <v>14053364847.06</v>
      </c>
      <c r="E72" s="114">
        <f>4763059815.93</f>
        <v>4763059815.93</v>
      </c>
      <c r="F72" s="114">
        <f>800503036.23</f>
        <v>800503036.23</v>
      </c>
      <c r="G72" s="114">
        <f>7952.32</f>
        <v>7952.32</v>
      </c>
      <c r="H72" s="114">
        <f>2397.02</f>
        <v>2397.02</v>
      </c>
      <c r="I72" s="162">
        <f>0</f>
        <v>0</v>
      </c>
      <c r="J72" s="162"/>
      <c r="K72" s="113">
        <f t="shared" si="6"/>
        <v>9.581831263270953</v>
      </c>
      <c r="L72" s="113">
        <f t="shared" si="7"/>
        <v>20.551019347354494</v>
      </c>
    </row>
    <row r="73" spans="2:12" ht="12.75">
      <c r="B73" s="89" t="s">
        <v>41</v>
      </c>
      <c r="C73" s="90">
        <f>21746422586.98</f>
        <v>21746422586.98</v>
      </c>
      <c r="D73" s="90">
        <f>13306298953.71</f>
        <v>13306298953.71</v>
      </c>
      <c r="E73" s="90">
        <f>4214915382.23</f>
        <v>4214915382.23</v>
      </c>
      <c r="F73" s="90">
        <f>683202891.54</f>
        <v>683202891.54</v>
      </c>
      <c r="G73" s="90">
        <f>7952.32</f>
        <v>7952.32</v>
      </c>
      <c r="H73" s="90">
        <f>2397.02</f>
        <v>2397.02</v>
      </c>
      <c r="I73" s="168">
        <f>0</f>
        <v>0</v>
      </c>
      <c r="J73" s="168"/>
      <c r="K73" s="116">
        <f t="shared" si="6"/>
        <v>8.479130966699284</v>
      </c>
      <c r="L73" s="116">
        <f t="shared" si="7"/>
        <v>19.38210924289474</v>
      </c>
    </row>
    <row r="74" spans="2:12" ht="25.5" customHeight="1">
      <c r="B74" s="83" t="s">
        <v>256</v>
      </c>
      <c r="C74" s="114">
        <f aca="true" t="shared" si="8" ref="C74:I74">C71-C72</f>
        <v>92638164079.46</v>
      </c>
      <c r="D74" s="114">
        <f t="shared" si="8"/>
        <v>78101806082.74</v>
      </c>
      <c r="E74" s="114">
        <f t="shared" si="8"/>
        <v>44946225236.79</v>
      </c>
      <c r="F74" s="114">
        <f t="shared" si="8"/>
        <v>2296491393.57</v>
      </c>
      <c r="G74" s="114">
        <f t="shared" si="8"/>
        <v>181989.62</v>
      </c>
      <c r="H74" s="114">
        <f t="shared" si="8"/>
        <v>452643.6</v>
      </c>
      <c r="I74" s="162">
        <f t="shared" si="8"/>
        <v>0</v>
      </c>
      <c r="J74" s="162"/>
      <c r="K74" s="113">
        <f t="shared" si="6"/>
        <v>90.41816873672904</v>
      </c>
      <c r="L74" s="113">
        <f t="shared" si="7"/>
        <v>48.518044030144594</v>
      </c>
    </row>
    <row r="75" spans="2:12" ht="24" customHeight="1">
      <c r="B75" s="89" t="s">
        <v>418</v>
      </c>
      <c r="C75" s="90">
        <f>33721258460.43</f>
        <v>33721258460.43</v>
      </c>
      <c r="D75" s="90">
        <f>30894364315.11</f>
        <v>30894364315.11</v>
      </c>
      <c r="E75" s="90">
        <f>17523611004.35</f>
        <v>17523611004.35</v>
      </c>
      <c r="F75" s="90">
        <f>972009221.24</f>
        <v>972009221.24</v>
      </c>
      <c r="G75" s="90">
        <f>8011.68</f>
        <v>8011.68</v>
      </c>
      <c r="H75" s="90">
        <f>17304.8</f>
        <v>17304.8</v>
      </c>
      <c r="I75" s="168">
        <f>0</f>
        <v>0</v>
      </c>
      <c r="J75" s="168"/>
      <c r="K75" s="116">
        <f t="shared" si="6"/>
        <v>35.252188772711264</v>
      </c>
      <c r="L75" s="116">
        <f t="shared" si="7"/>
        <v>51.96606474492335</v>
      </c>
    </row>
    <row r="76" spans="2:12" ht="13.5" customHeight="1">
      <c r="B76" s="89" t="s">
        <v>195</v>
      </c>
      <c r="C76" s="117">
        <f>9817236157.46</f>
        <v>9817236157.46</v>
      </c>
      <c r="D76" s="117">
        <f>7941215816.76</f>
        <v>7941215816.76</v>
      </c>
      <c r="E76" s="117">
        <f>5222670052.66</f>
        <v>5222670052.66</v>
      </c>
      <c r="F76" s="117">
        <f>77069179.39</f>
        <v>77069179.39</v>
      </c>
      <c r="G76" s="117">
        <f>0</f>
        <v>0</v>
      </c>
      <c r="H76" s="117">
        <f>0</f>
        <v>0</v>
      </c>
      <c r="I76" s="157">
        <f>0</f>
        <v>0</v>
      </c>
      <c r="J76" s="157"/>
      <c r="K76" s="116">
        <f t="shared" si="6"/>
        <v>10.50642761633166</v>
      </c>
      <c r="L76" s="116">
        <f t="shared" si="7"/>
        <v>53.19898562989499</v>
      </c>
    </row>
    <row r="77" spans="2:12" ht="12.75">
      <c r="B77" s="89" t="s">
        <v>194</v>
      </c>
      <c r="C77" s="90">
        <f>954539784.56</f>
        <v>954539784.56</v>
      </c>
      <c r="D77" s="90">
        <f>580753373.47</f>
        <v>580753373.47</v>
      </c>
      <c r="E77" s="90">
        <f>266403421.99</f>
        <v>266403421.99</v>
      </c>
      <c r="F77" s="90">
        <f>8133695.87</f>
        <v>8133695.87</v>
      </c>
      <c r="G77" s="90">
        <f>0</f>
        <v>0</v>
      </c>
      <c r="H77" s="90">
        <f>0</f>
        <v>0</v>
      </c>
      <c r="I77" s="168">
        <f>0</f>
        <v>0</v>
      </c>
      <c r="J77" s="168"/>
      <c r="K77" s="116">
        <f t="shared" si="6"/>
        <v>0.5359228596980654</v>
      </c>
      <c r="L77" s="116">
        <f t="shared" si="7"/>
        <v>27.909095702365097</v>
      </c>
    </row>
    <row r="78" spans="2:12" ht="22.5" customHeight="1">
      <c r="B78" s="89" t="s">
        <v>302</v>
      </c>
      <c r="C78" s="117">
        <f>132413661.28</f>
        <v>132413661.28</v>
      </c>
      <c r="D78" s="117">
        <f>19618000.28</f>
        <v>19618000.28</v>
      </c>
      <c r="E78" s="117">
        <f>4475925.01</f>
        <v>4475925.01</v>
      </c>
      <c r="F78" s="117">
        <f>0</f>
        <v>0</v>
      </c>
      <c r="G78" s="117">
        <f>0</f>
        <v>0</v>
      </c>
      <c r="H78" s="117">
        <f>0</f>
        <v>0</v>
      </c>
      <c r="I78" s="157">
        <f>0</f>
        <v>0</v>
      </c>
      <c r="J78" s="157"/>
      <c r="K78" s="116">
        <f t="shared" si="6"/>
        <v>0.009004203148874469</v>
      </c>
      <c r="L78" s="116">
        <f t="shared" si="7"/>
        <v>3.380259232115993</v>
      </c>
    </row>
    <row r="79" spans="2:12" ht="22.5" customHeight="1">
      <c r="B79" s="89" t="s">
        <v>316</v>
      </c>
      <c r="C79" s="117">
        <f>16826306969.69</f>
        <v>16826306969.69</v>
      </c>
      <c r="D79" s="117">
        <f>14164509165.38</f>
        <v>14164509165.38</v>
      </c>
      <c r="E79" s="117">
        <f>8502130257.75</f>
        <v>8502130257.75</v>
      </c>
      <c r="F79" s="117">
        <f>206734993.05</f>
        <v>206734993.05</v>
      </c>
      <c r="G79" s="117">
        <f>36470.84</f>
        <v>36470.84</v>
      </c>
      <c r="H79" s="117">
        <f>23706.7</f>
        <v>23706.7</v>
      </c>
      <c r="I79" s="164">
        <f>0</f>
        <v>0</v>
      </c>
      <c r="J79" s="165"/>
      <c r="K79" s="116">
        <f t="shared" si="6"/>
        <v>17.103706578625957</v>
      </c>
      <c r="L79" s="116">
        <f t="shared" si="7"/>
        <v>50.528795611926476</v>
      </c>
    </row>
    <row r="80" spans="2:12" ht="12.75">
      <c r="B80" s="89" t="s">
        <v>193</v>
      </c>
      <c r="C80" s="90">
        <f aca="true" t="shared" si="9" ref="C80:I80">C74-C75-C76-C77-C78-C79</f>
        <v>31186409046.04001</v>
      </c>
      <c r="D80" s="90">
        <f t="shared" si="9"/>
        <v>24501345411.740005</v>
      </c>
      <c r="E80" s="90">
        <f t="shared" si="9"/>
        <v>13426934575.030003</v>
      </c>
      <c r="F80" s="90">
        <f t="shared" si="9"/>
        <v>1032544304.0200002</v>
      </c>
      <c r="G80" s="90">
        <f t="shared" si="9"/>
        <v>137507.1</v>
      </c>
      <c r="H80" s="90">
        <f t="shared" si="9"/>
        <v>411632.1</v>
      </c>
      <c r="I80" s="164">
        <f t="shared" si="9"/>
        <v>0</v>
      </c>
      <c r="J80" s="165"/>
      <c r="K80" s="116">
        <f t="shared" si="6"/>
        <v>27.01091870621323</v>
      </c>
      <c r="L80" s="116">
        <f t="shared" si="7"/>
        <v>43.0538012735228</v>
      </c>
    </row>
    <row r="81" spans="2:13" ht="12.75">
      <c r="B81" s="83" t="s">
        <v>54</v>
      </c>
      <c r="C81" s="115">
        <f>C5-C71</f>
        <v>-11273230113.100006</v>
      </c>
      <c r="D81" s="115"/>
      <c r="E81" s="115">
        <f>D5-E71</f>
        <v>4789748886.229996</v>
      </c>
      <c r="F81" s="115"/>
      <c r="G81" s="115"/>
      <c r="H81" s="115"/>
      <c r="I81" s="162"/>
      <c r="J81" s="162"/>
      <c r="K81" s="118"/>
      <c r="L81" s="118"/>
      <c r="M81" s="13"/>
    </row>
    <row r="82" spans="2:13" ht="22.5">
      <c r="B82" s="83" t="s">
        <v>333</v>
      </c>
      <c r="C82" s="115">
        <f>+C63-C74</f>
        <v>2119283002.7799988</v>
      </c>
      <c r="D82" s="115"/>
      <c r="E82" s="115">
        <f>+D63-E74</f>
        <v>6120768228.839996</v>
      </c>
      <c r="F82" s="115"/>
      <c r="G82" s="115"/>
      <c r="H82" s="115"/>
      <c r="I82" s="115"/>
      <c r="J82" s="115"/>
      <c r="K82" s="118"/>
      <c r="L82" s="118"/>
      <c r="M82" s="13"/>
    </row>
    <row r="83" spans="2:13" ht="8.25" customHeight="1">
      <c r="B83" s="119"/>
      <c r="C83" s="120"/>
      <c r="D83" s="120"/>
      <c r="E83" s="120"/>
      <c r="F83" s="121"/>
      <c r="G83" s="121"/>
      <c r="H83" s="121"/>
      <c r="I83" s="121"/>
      <c r="J83" s="122"/>
      <c r="K83" s="122"/>
      <c r="L83" s="123"/>
      <c r="M83" s="111"/>
    </row>
    <row r="84" spans="2:13" ht="12.75">
      <c r="B84" s="124" t="s">
        <v>326</v>
      </c>
      <c r="C84" s="125"/>
      <c r="D84" s="126"/>
      <c r="E84" s="126"/>
      <c r="F84" s="127"/>
      <c r="G84" s="127"/>
      <c r="H84" s="127"/>
      <c r="I84" s="127"/>
      <c r="J84" s="128"/>
      <c r="K84" s="128"/>
      <c r="L84" s="128"/>
      <c r="M84" s="111"/>
    </row>
    <row r="85" spans="2:13" ht="26.25" customHeight="1">
      <c r="B85" s="83" t="s">
        <v>407</v>
      </c>
      <c r="C85" s="129">
        <f>10413669030.07</f>
        <v>10413669030.07</v>
      </c>
      <c r="D85" s="130">
        <f>6983971180.88</f>
        <v>6983971180.88</v>
      </c>
      <c r="E85" s="130">
        <f>2227231609.65</f>
        <v>2227231609.65</v>
      </c>
      <c r="F85" s="130">
        <f>247524309.55</f>
        <v>247524309.55</v>
      </c>
      <c r="G85" s="130">
        <f>0</f>
        <v>0</v>
      </c>
      <c r="H85" s="130">
        <f>0</f>
        <v>0</v>
      </c>
      <c r="I85" s="130">
        <f>0</f>
        <v>0</v>
      </c>
      <c r="J85" s="130">
        <f>0</f>
        <v>0</v>
      </c>
      <c r="K85" s="113">
        <f>IF($E$71=0,"",100*$E85/$E$85)</f>
        <v>100</v>
      </c>
      <c r="L85" s="113">
        <f>IF(C85=0,"",100*E85/C85)</f>
        <v>21.387578222610642</v>
      </c>
      <c r="M85" s="111"/>
    </row>
    <row r="86" spans="2:13" ht="15" customHeight="1">
      <c r="B86" s="131" t="s">
        <v>327</v>
      </c>
      <c r="C86" s="132">
        <f>9297765015.85</f>
        <v>9297765015.85</v>
      </c>
      <c r="D86" s="117">
        <f>6488729243.6</f>
        <v>6488729243.6</v>
      </c>
      <c r="E86" s="117">
        <f>1951624269.37</f>
        <v>1951624269.37</v>
      </c>
      <c r="F86" s="117">
        <f>239056349.88</f>
        <v>239056349.88</v>
      </c>
      <c r="G86" s="117">
        <f>0</f>
        <v>0</v>
      </c>
      <c r="H86" s="117">
        <f>0</f>
        <v>0</v>
      </c>
      <c r="I86" s="117">
        <f>0</f>
        <v>0</v>
      </c>
      <c r="J86" s="117">
        <f>0</f>
        <v>0</v>
      </c>
      <c r="K86" s="116">
        <f>IF($E$71=0,"",100*$E86/$E$85)</f>
        <v>87.6255644412612</v>
      </c>
      <c r="L86" s="133">
        <f>IF(C86=0,"",100*E86/C86)</f>
        <v>20.99025159318444</v>
      </c>
      <c r="M86" s="111"/>
    </row>
    <row r="87" spans="2:12" ht="12.75">
      <c r="B87" s="134" t="s">
        <v>328</v>
      </c>
      <c r="C87" s="132">
        <f>C85-C86</f>
        <v>1115904014.2199993</v>
      </c>
      <c r="D87" s="117">
        <f aca="true" t="shared" si="10" ref="D87:J87">D85-D86</f>
        <v>495241937.27999973</v>
      </c>
      <c r="E87" s="117">
        <f t="shared" si="10"/>
        <v>275607340.2800002</v>
      </c>
      <c r="F87" s="117">
        <f t="shared" si="10"/>
        <v>8467959.670000017</v>
      </c>
      <c r="G87" s="117">
        <f t="shared" si="10"/>
        <v>0</v>
      </c>
      <c r="H87" s="117">
        <f t="shared" si="10"/>
        <v>0</v>
      </c>
      <c r="I87" s="117">
        <f t="shared" si="10"/>
        <v>0</v>
      </c>
      <c r="J87" s="117">
        <f t="shared" si="10"/>
        <v>0</v>
      </c>
      <c r="K87" s="116">
        <f>IF($E$71=0,"",100*$E87/$E$85)</f>
        <v>12.374435558738803</v>
      </c>
      <c r="L87" s="133">
        <f>IF(C87=0,"",100*E87/C87)</f>
        <v>24.698122487949444</v>
      </c>
    </row>
    <row r="88" ht="6" customHeight="1"/>
    <row r="89" spans="2:13" ht="18">
      <c r="B89" s="158" t="str">
        <f>CONCATENATE("Informacja z wykonania budżetów miast na prawach powiatu za ",$D$119," ",$C$120," rok    ",$C$122,"")</f>
        <v>Informacja z wykonania budżetów miast na prawach powiatu za II Kwartały 2021 rok    </v>
      </c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</row>
    <row r="90" ht="6.75" customHeight="1"/>
    <row r="91" spans="2:8" ht="12.75">
      <c r="B91" s="65" t="s">
        <v>55</v>
      </c>
      <c r="C91" s="176" t="s">
        <v>56</v>
      </c>
      <c r="D91" s="177"/>
      <c r="E91" s="176" t="s">
        <v>1</v>
      </c>
      <c r="F91" s="177"/>
      <c r="G91" s="19" t="s">
        <v>131</v>
      </c>
      <c r="H91" s="19" t="s">
        <v>132</v>
      </c>
    </row>
    <row r="92" spans="2:8" ht="12.75">
      <c r="B92" s="65"/>
      <c r="C92" s="167" t="s">
        <v>338</v>
      </c>
      <c r="D92" s="178"/>
      <c r="E92" s="178"/>
      <c r="F92" s="179"/>
      <c r="G92" s="180" t="s">
        <v>4</v>
      </c>
      <c r="H92" s="181"/>
    </row>
    <row r="93" spans="2:8" ht="12.75">
      <c r="B93" s="63">
        <v>1</v>
      </c>
      <c r="C93" s="72">
        <v>2</v>
      </c>
      <c r="D93" s="73"/>
      <c r="E93" s="72">
        <v>3</v>
      </c>
      <c r="F93" s="73"/>
      <c r="G93" s="64">
        <v>4</v>
      </c>
      <c r="H93" s="64">
        <v>5</v>
      </c>
    </row>
    <row r="94" spans="2:8" ht="22.5">
      <c r="B94" s="135" t="s">
        <v>257</v>
      </c>
      <c r="C94" s="136">
        <f>14466348220.65</f>
        <v>14466348220.65</v>
      </c>
      <c r="D94" s="137"/>
      <c r="E94" s="136">
        <f>9162204524.05</f>
        <v>9162204524.05</v>
      </c>
      <c r="F94" s="137"/>
      <c r="G94" s="138">
        <f>IF($E$94=0,"",100*$E94/$E$94)</f>
        <v>100</v>
      </c>
      <c r="H94" s="113">
        <f>IF(C94=0,"",100*E94/C94)</f>
        <v>63.33460514223903</v>
      </c>
    </row>
    <row r="95" spans="2:8" ht="33.75">
      <c r="B95" s="139" t="s">
        <v>408</v>
      </c>
      <c r="C95" s="140">
        <f>8522219463.53</f>
        <v>8522219463.53</v>
      </c>
      <c r="D95" s="141"/>
      <c r="E95" s="140">
        <f>505370986.4</f>
        <v>505370986.4</v>
      </c>
      <c r="F95" s="141"/>
      <c r="G95" s="142">
        <f aca="true" t="shared" si="11" ref="G95:G101">IF($E$94=0,"",100*$E95/$E$94)</f>
        <v>5.51582302134213</v>
      </c>
      <c r="H95" s="143">
        <f aca="true" t="shared" si="12" ref="H95:H107">IF(C95=0,"",100*E95/C95)</f>
        <v>5.930039569653016</v>
      </c>
    </row>
    <row r="96" spans="2:8" ht="22.5">
      <c r="B96" s="144" t="s">
        <v>409</v>
      </c>
      <c r="C96" s="145">
        <f>855000000</f>
        <v>855000000</v>
      </c>
      <c r="D96" s="146"/>
      <c r="E96" s="145">
        <f>0</f>
        <v>0</v>
      </c>
      <c r="F96" s="146"/>
      <c r="G96" s="147">
        <f t="shared" si="11"/>
        <v>0</v>
      </c>
      <c r="H96" s="133">
        <f t="shared" si="12"/>
        <v>0</v>
      </c>
    </row>
    <row r="97" spans="2:8" ht="12.75">
      <c r="B97" s="144" t="s">
        <v>410</v>
      </c>
      <c r="C97" s="145">
        <f>79585777.71</f>
        <v>79585777.71</v>
      </c>
      <c r="D97" s="146"/>
      <c r="E97" s="145">
        <f>7563250.32</f>
        <v>7563250.32</v>
      </c>
      <c r="F97" s="146"/>
      <c r="G97" s="147">
        <f t="shared" si="11"/>
        <v>0.08254836813724381</v>
      </c>
      <c r="H97" s="133">
        <f t="shared" si="12"/>
        <v>9.503268721654615</v>
      </c>
    </row>
    <row r="98" spans="2:8" ht="12.75">
      <c r="B98" s="144" t="s">
        <v>411</v>
      </c>
      <c r="C98" s="145">
        <f>48330925.39</f>
        <v>48330925.39</v>
      </c>
      <c r="D98" s="146"/>
      <c r="E98" s="145">
        <f>73053322.37</f>
        <v>73053322.37</v>
      </c>
      <c r="F98" s="146"/>
      <c r="G98" s="147">
        <f t="shared" si="11"/>
        <v>0.7973334602850363</v>
      </c>
      <c r="H98" s="133">
        <f t="shared" si="12"/>
        <v>151.15233523981982</v>
      </c>
    </row>
    <row r="99" spans="2:8" ht="45.75" customHeight="1">
      <c r="B99" s="144" t="s">
        <v>432</v>
      </c>
      <c r="C99" s="145">
        <f>1447030203.3</f>
        <v>1447030203.3</v>
      </c>
      <c r="D99" s="146"/>
      <c r="E99" s="145">
        <f>1839554253.44</f>
        <v>1839554253.44</v>
      </c>
      <c r="F99" s="146"/>
      <c r="G99" s="147">
        <f t="shared" si="11"/>
        <v>20.07763795941608</v>
      </c>
      <c r="H99" s="133">
        <f t="shared" si="12"/>
        <v>127.12618224863836</v>
      </c>
    </row>
    <row r="100" spans="2:8" ht="12.75">
      <c r="B100" s="144" t="s">
        <v>412</v>
      </c>
      <c r="C100" s="145">
        <f>0</f>
        <v>0</v>
      </c>
      <c r="D100" s="146"/>
      <c r="E100" s="145">
        <f>0</f>
        <v>0</v>
      </c>
      <c r="F100" s="146"/>
      <c r="G100" s="147">
        <f t="shared" si="11"/>
        <v>0</v>
      </c>
      <c r="H100" s="133">
        <f t="shared" si="12"/>
      </c>
    </row>
    <row r="101" spans="2:8" ht="37.5" customHeight="1">
      <c r="B101" s="144" t="s">
        <v>416</v>
      </c>
      <c r="C101" s="145">
        <f>4321246022.72</f>
        <v>4321246022.72</v>
      </c>
      <c r="D101" s="146"/>
      <c r="E101" s="145">
        <f>6688726883.99</f>
        <v>6688726883.99</v>
      </c>
      <c r="F101" s="146"/>
      <c r="G101" s="147">
        <f t="shared" si="11"/>
        <v>73.00346621200899</v>
      </c>
      <c r="H101" s="133">
        <f t="shared" si="12"/>
        <v>154.78699543655682</v>
      </c>
    </row>
    <row r="102" spans="2:8" ht="12.75">
      <c r="B102" s="144" t="s">
        <v>368</v>
      </c>
      <c r="C102" s="145">
        <f>47935828</f>
        <v>47935828</v>
      </c>
      <c r="D102" s="146"/>
      <c r="E102" s="145">
        <f>47935827.53</f>
        <v>47935827.53</v>
      </c>
      <c r="F102" s="146"/>
      <c r="G102" s="147"/>
      <c r="H102" s="133"/>
    </row>
    <row r="103" spans="2:8" ht="22.5">
      <c r="B103" s="148" t="s">
        <v>258</v>
      </c>
      <c r="C103" s="149">
        <f>3193086537.55</f>
        <v>3193086537.55</v>
      </c>
      <c r="D103" s="150"/>
      <c r="E103" s="149">
        <f>1462232997.08</f>
        <v>1462232997.08</v>
      </c>
      <c r="F103" s="150"/>
      <c r="G103" s="151">
        <f>IF($E$103=0,"",100*$E103/$E$103)</f>
        <v>100</v>
      </c>
      <c r="H103" s="113">
        <f t="shared" si="12"/>
        <v>45.793716514866084</v>
      </c>
    </row>
    <row r="104" spans="2:8" ht="33.75">
      <c r="B104" s="144" t="s">
        <v>413</v>
      </c>
      <c r="C104" s="145">
        <f>3109384509.49</f>
        <v>3109384509.49</v>
      </c>
      <c r="D104" s="146"/>
      <c r="E104" s="145">
        <f>1403726425.71</f>
        <v>1403726425.71</v>
      </c>
      <c r="F104" s="146"/>
      <c r="G104" s="147">
        <f>IF($E$103=0,"",100*$E104/$E$103)</f>
        <v>95.99882019576673</v>
      </c>
      <c r="H104" s="133">
        <f t="shared" si="12"/>
        <v>45.14483240737051</v>
      </c>
    </row>
    <row r="105" spans="2:8" ht="22.5">
      <c r="B105" s="144" t="s">
        <v>414</v>
      </c>
      <c r="C105" s="145">
        <f>535520000</f>
        <v>535520000</v>
      </c>
      <c r="D105" s="146"/>
      <c r="E105" s="145">
        <f>335000000</f>
        <v>335000000</v>
      </c>
      <c r="F105" s="146"/>
      <c r="G105" s="147">
        <f>IF($E$103=0,"",100*$E105/$E$103)</f>
        <v>22.910165525533678</v>
      </c>
      <c r="H105" s="133">
        <f t="shared" si="12"/>
        <v>62.55602031670152</v>
      </c>
    </row>
    <row r="106" spans="2:8" ht="12.75">
      <c r="B106" s="144" t="s">
        <v>415</v>
      </c>
      <c r="C106" s="145">
        <f>52627549</f>
        <v>52627549</v>
      </c>
      <c r="D106" s="146"/>
      <c r="E106" s="145">
        <f>18546571.37</f>
        <v>18546571.37</v>
      </c>
      <c r="F106" s="146"/>
      <c r="G106" s="147">
        <f>IF($E$103=0,"",100*$E106/$E$103)</f>
        <v>1.2683731940830565</v>
      </c>
      <c r="H106" s="133">
        <f t="shared" si="12"/>
        <v>35.241183985216566</v>
      </c>
    </row>
    <row r="107" spans="2:8" ht="12.75">
      <c r="B107" s="144" t="s">
        <v>176</v>
      </c>
      <c r="C107" s="145">
        <f>31074479.06</f>
        <v>31074479.06</v>
      </c>
      <c r="D107" s="146"/>
      <c r="E107" s="145">
        <f>39960000</f>
        <v>39960000</v>
      </c>
      <c r="F107" s="146"/>
      <c r="G107" s="147">
        <f>IF($E$103=0,"",100*$E107/$E$103)</f>
        <v>2.732806610150226</v>
      </c>
      <c r="H107" s="133">
        <f t="shared" si="12"/>
        <v>128.59427159774245</v>
      </c>
    </row>
    <row r="108" spans="2:8" ht="12.75">
      <c r="B108" s="102"/>
      <c r="C108" s="102"/>
      <c r="D108" s="102"/>
      <c r="E108" s="102"/>
      <c r="F108" s="102"/>
      <c r="G108" s="102"/>
      <c r="H108" s="102"/>
    </row>
    <row r="109" spans="2:8" ht="12.75">
      <c r="B109" s="74" t="s">
        <v>55</v>
      </c>
      <c r="C109" s="183" t="s">
        <v>56</v>
      </c>
      <c r="D109" s="184"/>
      <c r="E109" s="183" t="s">
        <v>1</v>
      </c>
      <c r="F109" s="184"/>
      <c r="G109" s="75" t="s">
        <v>131</v>
      </c>
      <c r="H109" s="75" t="s">
        <v>132</v>
      </c>
    </row>
    <row r="110" spans="2:8" ht="12.75">
      <c r="B110" s="76"/>
      <c r="C110" s="171" t="s">
        <v>338</v>
      </c>
      <c r="D110" s="172"/>
      <c r="E110" s="172"/>
      <c r="F110" s="173"/>
      <c r="G110" s="174" t="s">
        <v>4</v>
      </c>
      <c r="H110" s="175"/>
    </row>
    <row r="111" spans="2:8" ht="12.75">
      <c r="B111" s="77">
        <v>1</v>
      </c>
      <c r="C111" s="78">
        <v>2</v>
      </c>
      <c r="D111" s="79"/>
      <c r="E111" s="78">
        <v>3</v>
      </c>
      <c r="F111" s="79"/>
      <c r="G111" s="80">
        <v>4</v>
      </c>
      <c r="H111" s="80">
        <v>5</v>
      </c>
    </row>
    <row r="112" spans="2:8" ht="28.5" customHeight="1">
      <c r="B112" s="152" t="s">
        <v>370</v>
      </c>
      <c r="C112" s="145">
        <f>11277181830.43</f>
        <v>11277181830.43</v>
      </c>
      <c r="D112" s="146"/>
      <c r="E112" s="145">
        <f>0</f>
        <v>0</v>
      </c>
      <c r="F112" s="153"/>
      <c r="G112" s="147"/>
      <c r="H112" s="133"/>
    </row>
    <row r="113" spans="2:8" ht="56.25">
      <c r="B113" s="152" t="s">
        <v>373</v>
      </c>
      <c r="C113" s="145">
        <f>611035523</f>
        <v>611035523</v>
      </c>
      <c r="D113" s="146"/>
      <c r="E113" s="145">
        <f>0</f>
        <v>0</v>
      </c>
      <c r="F113" s="146"/>
      <c r="G113" s="147"/>
      <c r="H113" s="133"/>
    </row>
    <row r="114" spans="2:8" ht="12.75">
      <c r="B114" s="152" t="s">
        <v>376</v>
      </c>
      <c r="C114" s="145">
        <f>5476575854.42</f>
        <v>5476575854.42</v>
      </c>
      <c r="D114" s="146"/>
      <c r="E114" s="145">
        <f>0</f>
        <v>0</v>
      </c>
      <c r="F114" s="146"/>
      <c r="G114" s="147"/>
      <c r="H114" s="133"/>
    </row>
    <row r="115" spans="2:8" ht="33.75">
      <c r="B115" s="152" t="s">
        <v>379</v>
      </c>
      <c r="C115" s="145">
        <f>0</f>
        <v>0</v>
      </c>
      <c r="D115" s="146"/>
      <c r="E115" s="145">
        <f>0</f>
        <v>0</v>
      </c>
      <c r="F115" s="146"/>
      <c r="G115" s="147"/>
      <c r="H115" s="133"/>
    </row>
    <row r="116" spans="2:8" ht="33.75">
      <c r="B116" s="152" t="s">
        <v>382</v>
      </c>
      <c r="C116" s="145">
        <f>47580925.39</f>
        <v>47580925.39</v>
      </c>
      <c r="D116" s="146"/>
      <c r="E116" s="145">
        <f>0</f>
        <v>0</v>
      </c>
      <c r="F116" s="146"/>
      <c r="G116" s="147"/>
      <c r="H116" s="133"/>
    </row>
    <row r="117" spans="2:8" ht="101.25">
      <c r="B117" s="152" t="s">
        <v>385</v>
      </c>
      <c r="C117" s="145">
        <f>3770746144.8</f>
        <v>3770746144.8</v>
      </c>
      <c r="D117" s="146"/>
      <c r="E117" s="145">
        <f>0</f>
        <v>0</v>
      </c>
      <c r="F117" s="146"/>
      <c r="G117" s="147"/>
      <c r="H117" s="133"/>
    </row>
    <row r="118" spans="2:8" ht="12.75">
      <c r="B118" s="154"/>
      <c r="C118" s="122"/>
      <c r="D118" s="122"/>
      <c r="E118" s="122"/>
      <c r="F118" s="122"/>
      <c r="G118" s="122"/>
      <c r="H118" s="122"/>
    </row>
    <row r="119" spans="2:4" ht="12" customHeight="1">
      <c r="B119" s="155" t="s">
        <v>259</v>
      </c>
      <c r="C119" s="155">
        <f>2</f>
        <v>2</v>
      </c>
      <c r="D119" s="155" t="str">
        <f>IF(C119=1,"I Kwartał",IF(C119=2,"II Kwartały",IF(C119=3,"III Kwartały",IF(C119=4,"IV Kwartały","-"))))</f>
        <v>II Kwartały</v>
      </c>
    </row>
    <row r="120" spans="2:4" ht="12.75">
      <c r="B120" s="155" t="s">
        <v>260</v>
      </c>
      <c r="C120" s="155">
        <f>2021</f>
        <v>2021</v>
      </c>
      <c r="D120" s="154"/>
    </row>
    <row r="121" spans="2:4" ht="12.75">
      <c r="B121" s="155" t="s">
        <v>261</v>
      </c>
      <c r="C121" s="156" t="str">
        <f>"Aug 18 2021 12:00AM"</f>
        <v>Aug 18 2021 12:00AM</v>
      </c>
      <c r="D121" s="154"/>
    </row>
    <row r="122" spans="2:4" ht="12.75">
      <c r="B122" s="155" t="s">
        <v>319</v>
      </c>
      <c r="C122" s="156">
        <f>""</f>
      </c>
      <c r="D122" s="154"/>
    </row>
  </sheetData>
  <sheetProtection/>
  <mergeCells count="38">
    <mergeCell ref="I77:J77"/>
    <mergeCell ref="I78:J78"/>
    <mergeCell ref="K69:L69"/>
    <mergeCell ref="K3:M3"/>
    <mergeCell ref="C3:J3"/>
    <mergeCell ref="B64:M64"/>
    <mergeCell ref="C69:J69"/>
    <mergeCell ref="I70:J70"/>
    <mergeCell ref="I73:J73"/>
    <mergeCell ref="I74:J74"/>
    <mergeCell ref="C110:F110"/>
    <mergeCell ref="G110:H110"/>
    <mergeCell ref="C91:D91"/>
    <mergeCell ref="E91:F91"/>
    <mergeCell ref="C92:F92"/>
    <mergeCell ref="G92:H92"/>
    <mergeCell ref="C109:D109"/>
    <mergeCell ref="E109:F109"/>
    <mergeCell ref="I81:J81"/>
    <mergeCell ref="I79:J79"/>
    <mergeCell ref="B89:M89"/>
    <mergeCell ref="I66:J68"/>
    <mergeCell ref="D66:D68"/>
    <mergeCell ref="E66:E68"/>
    <mergeCell ref="F67:F68"/>
    <mergeCell ref="F66:H66"/>
    <mergeCell ref="I80:J80"/>
    <mergeCell ref="I75:J75"/>
    <mergeCell ref="I76:J76"/>
    <mergeCell ref="B1:M1"/>
    <mergeCell ref="B2:B3"/>
    <mergeCell ref="C66:C68"/>
    <mergeCell ref="B66:B69"/>
    <mergeCell ref="K66:K68"/>
    <mergeCell ref="I72:J72"/>
    <mergeCell ref="L66:L68"/>
    <mergeCell ref="G67:H67"/>
    <mergeCell ref="I71:J71"/>
  </mergeCells>
  <printOptions/>
  <pageMargins left="0.1968503937007874" right="0.1968503937007874" top="0.3937007874015748" bottom="0.3937007874015748" header="0.31496062992125984" footer="0.1968503937007874"/>
  <pageSetup firstPageNumber="1" useFirstPageNumber="1" fitToHeight="2" fitToWidth="2" horizontalDpi="600" verticalDpi="600" orientation="landscape" paperSize="9" scale="85" r:id="rId3"/>
  <headerFooter alignWithMargins="0">
    <oddFooter>&amp;RStrona &amp;P z &amp;N</oddFooter>
  </headerFooter>
  <rowBreaks count="5" manualBreakCount="5">
    <brk id="22" max="255" man="1"/>
    <brk id="49" max="12" man="1"/>
    <brk id="63" max="255" man="1"/>
    <brk id="88" max="255" man="1"/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A1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43" customWidth="1"/>
    <col min="2" max="2" width="22.875" style="1" customWidth="1"/>
    <col min="3" max="6" width="13.875" style="1" customWidth="1"/>
    <col min="7" max="10" width="13.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45" customHeight="1">
      <c r="B1" s="207" t="str">
        <f>CONCATENATE("Informacja z wykonania budżetów miast na prawach powiatu za ",definicja!$D$119," ",definicja!$C$120," roku")</f>
        <v>Informacja z wykonania budżetów miast na prawach powiatu za - 2021 roku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3" spans="2:13" ht="66.75" customHeight="1">
      <c r="B3" s="159" t="s">
        <v>0</v>
      </c>
      <c r="C3" s="16" t="s">
        <v>179</v>
      </c>
      <c r="D3" s="16" t="s">
        <v>180</v>
      </c>
      <c r="E3" s="16" t="s">
        <v>181</v>
      </c>
      <c r="F3" s="16" t="s">
        <v>182</v>
      </c>
      <c r="G3" s="16" t="s">
        <v>183</v>
      </c>
      <c r="H3" s="16" t="s">
        <v>184</v>
      </c>
      <c r="I3" s="16" t="s">
        <v>185</v>
      </c>
      <c r="J3" s="16" t="s">
        <v>186</v>
      </c>
      <c r="K3" s="17" t="s">
        <v>2</v>
      </c>
      <c r="L3" s="16" t="s">
        <v>67</v>
      </c>
      <c r="M3" s="16" t="s">
        <v>3</v>
      </c>
    </row>
    <row r="4" spans="2:13" ht="12.75">
      <c r="B4" s="159"/>
      <c r="C4" s="17" t="s">
        <v>199</v>
      </c>
      <c r="D4" s="17" t="s">
        <v>129</v>
      </c>
      <c r="E4" s="17" t="s">
        <v>200</v>
      </c>
      <c r="F4" s="17" t="s">
        <v>201</v>
      </c>
      <c r="G4" s="17" t="s">
        <v>202</v>
      </c>
      <c r="H4" s="17" t="s">
        <v>204</v>
      </c>
      <c r="I4" s="17" t="s">
        <v>205</v>
      </c>
      <c r="J4" s="17" t="s">
        <v>203</v>
      </c>
      <c r="K4" s="182" t="s">
        <v>4</v>
      </c>
      <c r="L4" s="182"/>
      <c r="M4" s="182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1:13" ht="25.5" customHeight="1">
      <c r="A6" s="43" t="s">
        <v>12</v>
      </c>
      <c r="B6" s="20" t="s">
        <v>5</v>
      </c>
      <c r="C6" s="233" t="s">
        <v>206</v>
      </c>
      <c r="D6" s="233"/>
      <c r="E6" s="233"/>
      <c r="F6" s="233"/>
      <c r="G6" s="233"/>
      <c r="H6" s="233"/>
      <c r="I6" s="233"/>
      <c r="J6" s="233"/>
      <c r="K6" s="39">
        <v>100</v>
      </c>
      <c r="L6" s="39" t="s">
        <v>105</v>
      </c>
      <c r="M6" s="39"/>
    </row>
    <row r="7" spans="1:13" ht="25.5" customHeight="1">
      <c r="A7" s="43" t="s">
        <v>13</v>
      </c>
      <c r="B7" s="21" t="s">
        <v>248</v>
      </c>
      <c r="C7" s="232" t="s">
        <v>397</v>
      </c>
      <c r="D7" s="232"/>
      <c r="E7" s="232"/>
      <c r="F7" s="232"/>
      <c r="G7" s="232"/>
      <c r="H7" s="232"/>
      <c r="I7" s="232"/>
      <c r="J7" s="232"/>
      <c r="K7" s="40" t="s">
        <v>76</v>
      </c>
      <c r="L7" s="40" t="s">
        <v>105</v>
      </c>
      <c r="M7" s="40">
        <v>100</v>
      </c>
    </row>
    <row r="8" spans="1:13" ht="33" customHeight="1">
      <c r="A8" s="43" t="s">
        <v>14</v>
      </c>
      <c r="B8" s="22" t="s">
        <v>249</v>
      </c>
      <c r="C8" s="185" t="s">
        <v>274</v>
      </c>
      <c r="D8" s="185"/>
      <c r="E8" s="185"/>
      <c r="F8" s="185"/>
      <c r="G8" s="185"/>
      <c r="H8" s="185"/>
      <c r="I8" s="185"/>
      <c r="J8" s="185"/>
      <c r="K8" s="25" t="s">
        <v>77</v>
      </c>
      <c r="L8" s="25" t="s">
        <v>105</v>
      </c>
      <c r="M8" s="25" t="s">
        <v>106</v>
      </c>
    </row>
    <row r="9" spans="1:13" ht="33" customHeight="1">
      <c r="A9" s="43" t="s">
        <v>15</v>
      </c>
      <c r="B9" s="23" t="s">
        <v>250</v>
      </c>
      <c r="C9" s="186" t="s">
        <v>275</v>
      </c>
      <c r="D9" s="186"/>
      <c r="E9" s="186"/>
      <c r="F9" s="186"/>
      <c r="G9" s="186"/>
      <c r="H9" s="186"/>
      <c r="I9" s="186"/>
      <c r="J9" s="186"/>
      <c r="K9" s="24" t="s">
        <v>78</v>
      </c>
      <c r="L9" s="24" t="s">
        <v>105</v>
      </c>
      <c r="M9" s="24" t="s">
        <v>107</v>
      </c>
    </row>
    <row r="10" spans="1:13" ht="33" customHeight="1">
      <c r="A10" s="43" t="s">
        <v>16</v>
      </c>
      <c r="B10" s="42" t="s">
        <v>251</v>
      </c>
      <c r="C10" s="189" t="s">
        <v>276</v>
      </c>
      <c r="D10" s="189"/>
      <c r="E10" s="189"/>
      <c r="F10" s="189"/>
      <c r="G10" s="189"/>
      <c r="H10" s="189"/>
      <c r="I10" s="189"/>
      <c r="J10" s="189"/>
      <c r="K10" s="25" t="s">
        <v>79</v>
      </c>
      <c r="L10" s="25" t="s">
        <v>105</v>
      </c>
      <c r="M10" s="25" t="s">
        <v>108</v>
      </c>
    </row>
    <row r="11" spans="1:13" ht="33" customHeight="1">
      <c r="A11" s="43" t="s">
        <v>17</v>
      </c>
      <c r="B11" s="23" t="s">
        <v>252</v>
      </c>
      <c r="C11" s="186" t="s">
        <v>277</v>
      </c>
      <c r="D11" s="186"/>
      <c r="E11" s="186"/>
      <c r="F11" s="186"/>
      <c r="G11" s="186"/>
      <c r="H11" s="186"/>
      <c r="I11" s="186"/>
      <c r="J11" s="186"/>
      <c r="K11" s="24" t="s">
        <v>80</v>
      </c>
      <c r="L11" s="24" t="s">
        <v>105</v>
      </c>
      <c r="M11" s="24" t="s">
        <v>109</v>
      </c>
    </row>
    <row r="12" spans="1:13" ht="13.5" customHeight="1">
      <c r="A12" s="43" t="s">
        <v>18</v>
      </c>
      <c r="B12" s="22" t="s">
        <v>70</v>
      </c>
      <c r="C12" s="185" t="s">
        <v>278</v>
      </c>
      <c r="D12" s="185"/>
      <c r="E12" s="185"/>
      <c r="F12" s="185"/>
      <c r="G12" s="185"/>
      <c r="H12" s="185"/>
      <c r="I12" s="185"/>
      <c r="J12" s="185"/>
      <c r="K12" s="25" t="s">
        <v>81</v>
      </c>
      <c r="L12" s="25" t="s">
        <v>105</v>
      </c>
      <c r="M12" s="25" t="s">
        <v>110</v>
      </c>
    </row>
    <row r="13" spans="1:13" ht="13.5" customHeight="1">
      <c r="A13" s="43" t="s">
        <v>19</v>
      </c>
      <c r="B13" s="23" t="s">
        <v>71</v>
      </c>
      <c r="C13" s="186" t="s">
        <v>279</v>
      </c>
      <c r="D13" s="186"/>
      <c r="E13" s="186"/>
      <c r="F13" s="186"/>
      <c r="G13" s="186"/>
      <c r="H13" s="186"/>
      <c r="I13" s="186"/>
      <c r="J13" s="186"/>
      <c r="K13" s="24" t="s">
        <v>82</v>
      </c>
      <c r="L13" s="24" t="s">
        <v>105</v>
      </c>
      <c r="M13" s="24" t="s">
        <v>111</v>
      </c>
    </row>
    <row r="14" spans="1:13" ht="13.5" customHeight="1">
      <c r="A14" s="43" t="s">
        <v>20</v>
      </c>
      <c r="B14" s="22" t="s">
        <v>72</v>
      </c>
      <c r="C14" s="185" t="s">
        <v>280</v>
      </c>
      <c r="D14" s="185"/>
      <c r="E14" s="185"/>
      <c r="F14" s="185"/>
      <c r="G14" s="185"/>
      <c r="H14" s="185"/>
      <c r="I14" s="185"/>
      <c r="J14" s="185"/>
      <c r="K14" s="25" t="s">
        <v>83</v>
      </c>
      <c r="L14" s="25" t="s">
        <v>105</v>
      </c>
      <c r="M14" s="25" t="s">
        <v>112</v>
      </c>
    </row>
    <row r="15" spans="1:13" ht="22.5" customHeight="1">
      <c r="A15" s="43" t="s">
        <v>21</v>
      </c>
      <c r="B15" s="23" t="s">
        <v>73</v>
      </c>
      <c r="C15" s="186" t="s">
        <v>281</v>
      </c>
      <c r="D15" s="186"/>
      <c r="E15" s="186"/>
      <c r="F15" s="186"/>
      <c r="G15" s="186"/>
      <c r="H15" s="186"/>
      <c r="I15" s="186"/>
      <c r="J15" s="186"/>
      <c r="K15" s="24" t="s">
        <v>84</v>
      </c>
      <c r="L15" s="24" t="s">
        <v>105</v>
      </c>
      <c r="M15" s="24" t="s">
        <v>113</v>
      </c>
    </row>
    <row r="16" spans="1:13" ht="33" customHeight="1">
      <c r="A16" s="43" t="s">
        <v>22</v>
      </c>
      <c r="B16" s="22" t="s">
        <v>188</v>
      </c>
      <c r="C16" s="185" t="s">
        <v>282</v>
      </c>
      <c r="D16" s="185"/>
      <c r="E16" s="185"/>
      <c r="F16" s="185"/>
      <c r="G16" s="185"/>
      <c r="H16" s="185"/>
      <c r="I16" s="185"/>
      <c r="J16" s="185"/>
      <c r="K16" s="25" t="s">
        <v>85</v>
      </c>
      <c r="L16" s="25" t="s">
        <v>105</v>
      </c>
      <c r="M16" s="25" t="s">
        <v>114</v>
      </c>
    </row>
    <row r="17" spans="1:13" ht="22.5" customHeight="1">
      <c r="A17" s="43" t="s">
        <v>23</v>
      </c>
      <c r="B17" s="23" t="s">
        <v>150</v>
      </c>
      <c r="C17" s="186" t="s">
        <v>283</v>
      </c>
      <c r="D17" s="186"/>
      <c r="E17" s="186"/>
      <c r="F17" s="186"/>
      <c r="G17" s="186"/>
      <c r="H17" s="186"/>
      <c r="I17" s="186"/>
      <c r="J17" s="186"/>
      <c r="K17" s="24" t="s">
        <v>86</v>
      </c>
      <c r="L17" s="24" t="s">
        <v>105</v>
      </c>
      <c r="M17" s="24" t="s">
        <v>115</v>
      </c>
    </row>
    <row r="18" spans="1:13" ht="22.5" customHeight="1">
      <c r="A18" s="43" t="s">
        <v>24</v>
      </c>
      <c r="B18" s="22" t="s">
        <v>151</v>
      </c>
      <c r="C18" s="185" t="s">
        <v>284</v>
      </c>
      <c r="D18" s="185"/>
      <c r="E18" s="185"/>
      <c r="F18" s="185"/>
      <c r="G18" s="185"/>
      <c r="H18" s="185"/>
      <c r="I18" s="185"/>
      <c r="J18" s="185"/>
      <c r="K18" s="25" t="s">
        <v>87</v>
      </c>
      <c r="L18" s="25" t="s">
        <v>105</v>
      </c>
      <c r="M18" s="25" t="s">
        <v>116</v>
      </c>
    </row>
    <row r="19" spans="1:13" ht="13.5" customHeight="1">
      <c r="A19" s="43" t="s">
        <v>25</v>
      </c>
      <c r="B19" s="23" t="s">
        <v>223</v>
      </c>
      <c r="C19" s="186" t="s">
        <v>285</v>
      </c>
      <c r="D19" s="186"/>
      <c r="E19" s="186"/>
      <c r="F19" s="186"/>
      <c r="G19" s="186"/>
      <c r="H19" s="186"/>
      <c r="I19" s="186"/>
      <c r="J19" s="186"/>
      <c r="K19" s="24" t="s">
        <v>88</v>
      </c>
      <c r="L19" s="24" t="s">
        <v>105</v>
      </c>
      <c r="M19" s="24" t="s">
        <v>117</v>
      </c>
    </row>
    <row r="20" spans="1:13" ht="13.5" customHeight="1">
      <c r="A20" s="43" t="s">
        <v>26</v>
      </c>
      <c r="B20" s="22" t="s">
        <v>224</v>
      </c>
      <c r="C20" s="185" t="s">
        <v>286</v>
      </c>
      <c r="D20" s="185"/>
      <c r="E20" s="185"/>
      <c r="F20" s="185"/>
      <c r="G20" s="185"/>
      <c r="H20" s="185"/>
      <c r="I20" s="185"/>
      <c r="J20" s="185"/>
      <c r="K20" s="25" t="s">
        <v>89</v>
      </c>
      <c r="L20" s="25" t="s">
        <v>105</v>
      </c>
      <c r="M20" s="25" t="s">
        <v>118</v>
      </c>
    </row>
    <row r="21" spans="1:13" ht="13.5" customHeight="1">
      <c r="A21" s="43" t="s">
        <v>27</v>
      </c>
      <c r="B21" s="23" t="s">
        <v>225</v>
      </c>
      <c r="C21" s="186" t="s">
        <v>287</v>
      </c>
      <c r="D21" s="186"/>
      <c r="E21" s="186"/>
      <c r="F21" s="186"/>
      <c r="G21" s="186"/>
      <c r="H21" s="186"/>
      <c r="I21" s="186"/>
      <c r="J21" s="186"/>
      <c r="K21" s="24" t="s">
        <v>90</v>
      </c>
      <c r="L21" s="24" t="s">
        <v>105</v>
      </c>
      <c r="M21" s="24" t="s">
        <v>154</v>
      </c>
    </row>
    <row r="22" spans="1:13" ht="13.5" customHeight="1">
      <c r="A22" s="43" t="s">
        <v>28</v>
      </c>
      <c r="B22" s="22" t="s">
        <v>74</v>
      </c>
      <c r="C22" s="185" t="s">
        <v>400</v>
      </c>
      <c r="D22" s="185"/>
      <c r="E22" s="185"/>
      <c r="F22" s="185"/>
      <c r="G22" s="185"/>
      <c r="H22" s="185"/>
      <c r="I22" s="185"/>
      <c r="J22" s="185"/>
      <c r="K22" s="25" t="s">
        <v>91</v>
      </c>
      <c r="L22" s="25" t="s">
        <v>105</v>
      </c>
      <c r="M22" s="25" t="s">
        <v>219</v>
      </c>
    </row>
    <row r="23" spans="1:13" ht="13.5" customHeight="1">
      <c r="A23" s="43" t="s">
        <v>29</v>
      </c>
      <c r="B23" s="23" t="s">
        <v>75</v>
      </c>
      <c r="C23" s="186" t="s">
        <v>339</v>
      </c>
      <c r="D23" s="186"/>
      <c r="E23" s="186"/>
      <c r="F23" s="186"/>
      <c r="G23" s="186"/>
      <c r="H23" s="186"/>
      <c r="I23" s="186"/>
      <c r="J23" s="186"/>
      <c r="K23" s="24" t="s">
        <v>92</v>
      </c>
      <c r="L23" s="24" t="s">
        <v>105</v>
      </c>
      <c r="M23" s="24" t="s">
        <v>220</v>
      </c>
    </row>
    <row r="24" spans="1:13" ht="26.25" customHeight="1">
      <c r="A24" s="43" t="s">
        <v>30</v>
      </c>
      <c r="B24" s="47" t="s">
        <v>314</v>
      </c>
      <c r="C24" s="192" t="s">
        <v>398</v>
      </c>
      <c r="D24" s="192"/>
      <c r="E24" s="192"/>
      <c r="F24" s="54"/>
      <c r="G24" s="55"/>
      <c r="H24" s="55"/>
      <c r="I24" s="55"/>
      <c r="J24" s="56"/>
      <c r="K24" s="33" t="s">
        <v>93</v>
      </c>
      <c r="L24" s="25" t="s">
        <v>105</v>
      </c>
      <c r="M24" s="57"/>
    </row>
    <row r="25" spans="1:13" ht="25.5" customHeight="1">
      <c r="A25" s="43" t="s">
        <v>31</v>
      </c>
      <c r="B25" s="47" t="s">
        <v>253</v>
      </c>
      <c r="C25" s="192" t="s">
        <v>364</v>
      </c>
      <c r="D25" s="192"/>
      <c r="E25" s="192"/>
      <c r="F25" s="34"/>
      <c r="G25" s="51"/>
      <c r="H25" s="51"/>
      <c r="I25" s="51"/>
      <c r="J25" s="36"/>
      <c r="K25" s="26" t="s">
        <v>94</v>
      </c>
      <c r="L25" s="25" t="s">
        <v>105</v>
      </c>
      <c r="M25" s="37"/>
    </row>
    <row r="26" spans="1:13" ht="13.5" customHeight="1">
      <c r="A26" s="43" t="s">
        <v>32</v>
      </c>
      <c r="B26" s="50" t="s">
        <v>226</v>
      </c>
      <c r="C26" s="190" t="s">
        <v>365</v>
      </c>
      <c r="D26" s="190"/>
      <c r="E26" s="190"/>
      <c r="F26" s="34"/>
      <c r="G26" s="46"/>
      <c r="H26" s="46"/>
      <c r="I26" s="46"/>
      <c r="J26" s="36"/>
      <c r="K26" s="33" t="s">
        <v>95</v>
      </c>
      <c r="L26" s="24" t="s">
        <v>105</v>
      </c>
      <c r="M26" s="37"/>
    </row>
    <row r="27" spans="1:13" ht="22.5" customHeight="1">
      <c r="A27" s="43" t="s">
        <v>33</v>
      </c>
      <c r="B27" s="42" t="s">
        <v>9</v>
      </c>
      <c r="C27" s="193" t="s">
        <v>437</v>
      </c>
      <c r="D27" s="193"/>
      <c r="E27" s="193"/>
      <c r="F27" s="34"/>
      <c r="G27" s="46"/>
      <c r="H27" s="46"/>
      <c r="I27" s="46"/>
      <c r="J27" s="36"/>
      <c r="K27" s="24" t="s">
        <v>96</v>
      </c>
      <c r="L27" s="25" t="s">
        <v>105</v>
      </c>
      <c r="M27" s="37"/>
    </row>
    <row r="28" spans="1:13" ht="13.5" customHeight="1">
      <c r="A28" s="43" t="s">
        <v>34</v>
      </c>
      <c r="B28" s="41" t="s">
        <v>6</v>
      </c>
      <c r="C28" s="191" t="s">
        <v>401</v>
      </c>
      <c r="D28" s="191"/>
      <c r="E28" s="191"/>
      <c r="F28" s="34"/>
      <c r="G28" s="46"/>
      <c r="H28" s="46"/>
      <c r="I28" s="46"/>
      <c r="J28" s="36"/>
      <c r="K28" s="25" t="s">
        <v>97</v>
      </c>
      <c r="L28" s="24" t="s">
        <v>105</v>
      </c>
      <c r="M28" s="37"/>
    </row>
    <row r="29" spans="1:13" ht="13.5" customHeight="1">
      <c r="A29" s="43" t="s">
        <v>35</v>
      </c>
      <c r="B29" s="42" t="s">
        <v>7</v>
      </c>
      <c r="C29" s="193" t="s">
        <v>363</v>
      </c>
      <c r="D29" s="193"/>
      <c r="E29" s="193"/>
      <c r="F29" s="34"/>
      <c r="G29" s="46"/>
      <c r="H29" s="46"/>
      <c r="I29" s="46"/>
      <c r="J29" s="36"/>
      <c r="K29" s="25" t="s">
        <v>98</v>
      </c>
      <c r="L29" s="24" t="s">
        <v>105</v>
      </c>
      <c r="M29" s="37"/>
    </row>
    <row r="30" spans="1:13" ht="13.5" customHeight="1">
      <c r="A30" s="43" t="s">
        <v>36</v>
      </c>
      <c r="B30" s="41" t="s">
        <v>6</v>
      </c>
      <c r="C30" s="191" t="s">
        <v>341</v>
      </c>
      <c r="D30" s="191"/>
      <c r="E30" s="191"/>
      <c r="F30" s="34"/>
      <c r="G30" s="46"/>
      <c r="H30" s="46"/>
      <c r="I30" s="46"/>
      <c r="J30" s="36"/>
      <c r="K30" s="25" t="s">
        <v>99</v>
      </c>
      <c r="L30" s="25" t="s">
        <v>105</v>
      </c>
      <c r="M30" s="37"/>
    </row>
    <row r="31" spans="1:13" ht="33" customHeight="1">
      <c r="A31" s="43" t="s">
        <v>37</v>
      </c>
      <c r="B31" s="42" t="s">
        <v>10</v>
      </c>
      <c r="C31" s="193" t="s">
        <v>288</v>
      </c>
      <c r="D31" s="193"/>
      <c r="E31" s="193"/>
      <c r="F31" s="34"/>
      <c r="G31" s="46"/>
      <c r="H31" s="46"/>
      <c r="I31" s="46"/>
      <c r="J31" s="36"/>
      <c r="K31" s="24" t="s">
        <v>100</v>
      </c>
      <c r="L31" s="24" t="s">
        <v>105</v>
      </c>
      <c r="M31" s="37"/>
    </row>
    <row r="32" spans="1:13" ht="13.5" customHeight="1">
      <c r="A32" s="43" t="s">
        <v>38</v>
      </c>
      <c r="B32" s="41" t="s">
        <v>6</v>
      </c>
      <c r="C32" s="191" t="s">
        <v>289</v>
      </c>
      <c r="D32" s="191"/>
      <c r="E32" s="191"/>
      <c r="F32" s="34"/>
      <c r="G32" s="46"/>
      <c r="H32" s="46"/>
      <c r="I32" s="46"/>
      <c r="J32" s="36"/>
      <c r="K32" s="24" t="s">
        <v>101</v>
      </c>
      <c r="L32" s="24" t="s">
        <v>105</v>
      </c>
      <c r="M32" s="37"/>
    </row>
    <row r="33" spans="1:13" ht="13.5" customHeight="1">
      <c r="A33" s="43" t="s">
        <v>39</v>
      </c>
      <c r="B33" s="48" t="s">
        <v>227</v>
      </c>
      <c r="C33" s="192" t="s">
        <v>366</v>
      </c>
      <c r="D33" s="192"/>
      <c r="E33" s="192"/>
      <c r="F33" s="34"/>
      <c r="G33" s="46"/>
      <c r="H33" s="46"/>
      <c r="I33" s="46"/>
      <c r="J33" s="36"/>
      <c r="K33" s="26" t="s">
        <v>102</v>
      </c>
      <c r="L33" s="24" t="s">
        <v>105</v>
      </c>
      <c r="M33" s="37"/>
    </row>
    <row r="34" spans="1:13" ht="22.5" customHeight="1">
      <c r="A34" s="43" t="s">
        <v>68</v>
      </c>
      <c r="B34" s="23" t="s">
        <v>9</v>
      </c>
      <c r="C34" s="191" t="s">
        <v>438</v>
      </c>
      <c r="D34" s="191"/>
      <c r="E34" s="191"/>
      <c r="F34" s="34"/>
      <c r="G34" s="46"/>
      <c r="H34" s="46"/>
      <c r="I34" s="46"/>
      <c r="J34" s="36"/>
      <c r="K34" s="24" t="s">
        <v>103</v>
      </c>
      <c r="L34" s="25" t="s">
        <v>105</v>
      </c>
      <c r="M34" s="37"/>
    </row>
    <row r="35" spans="1:13" ht="13.5" customHeight="1">
      <c r="A35" s="43" t="s">
        <v>69</v>
      </c>
      <c r="B35" s="49" t="s">
        <v>6</v>
      </c>
      <c r="C35" s="193" t="s">
        <v>402</v>
      </c>
      <c r="D35" s="193"/>
      <c r="E35" s="193"/>
      <c r="F35" s="34"/>
      <c r="G35" s="46"/>
      <c r="H35" s="46"/>
      <c r="I35" s="46"/>
      <c r="J35" s="36"/>
      <c r="K35" s="24" t="s">
        <v>104</v>
      </c>
      <c r="L35" s="24" t="s">
        <v>105</v>
      </c>
      <c r="M35" s="37"/>
    </row>
    <row r="36" spans="1:13" ht="13.5" customHeight="1">
      <c r="A36" s="43" t="s">
        <v>152</v>
      </c>
      <c r="B36" s="23" t="s">
        <v>7</v>
      </c>
      <c r="C36" s="191" t="s">
        <v>303</v>
      </c>
      <c r="D36" s="191"/>
      <c r="E36" s="191"/>
      <c r="F36" s="34"/>
      <c r="G36" s="46"/>
      <c r="H36" s="46"/>
      <c r="I36" s="46"/>
      <c r="J36" s="36"/>
      <c r="K36" s="25" t="s">
        <v>153</v>
      </c>
      <c r="L36" s="25" t="s">
        <v>105</v>
      </c>
      <c r="M36" s="37"/>
    </row>
    <row r="37" spans="1:13" ht="13.5" customHeight="1">
      <c r="A37" s="43" t="s">
        <v>156</v>
      </c>
      <c r="B37" s="49" t="s">
        <v>6</v>
      </c>
      <c r="C37" s="193" t="s">
        <v>304</v>
      </c>
      <c r="D37" s="193"/>
      <c r="E37" s="193"/>
      <c r="F37" s="34"/>
      <c r="G37" s="46"/>
      <c r="H37" s="46"/>
      <c r="I37" s="46"/>
      <c r="J37" s="36"/>
      <c r="K37" s="24" t="s">
        <v>158</v>
      </c>
      <c r="L37" s="24" t="s">
        <v>105</v>
      </c>
      <c r="M37" s="37"/>
    </row>
    <row r="38" spans="1:13" ht="33" customHeight="1">
      <c r="A38" s="43" t="s">
        <v>157</v>
      </c>
      <c r="B38" s="23" t="s">
        <v>10</v>
      </c>
      <c r="C38" s="191" t="s">
        <v>290</v>
      </c>
      <c r="D38" s="191"/>
      <c r="E38" s="191"/>
      <c r="F38" s="34"/>
      <c r="G38" s="46"/>
      <c r="H38" s="46"/>
      <c r="I38" s="46"/>
      <c r="J38" s="36"/>
      <c r="K38" s="25" t="s">
        <v>159</v>
      </c>
      <c r="L38" s="25" t="s">
        <v>105</v>
      </c>
      <c r="M38" s="37"/>
    </row>
    <row r="39" spans="1:13" ht="13.5" customHeight="1">
      <c r="A39" s="43" t="s">
        <v>221</v>
      </c>
      <c r="B39" s="49" t="s">
        <v>6</v>
      </c>
      <c r="C39" s="193" t="s">
        <v>291</v>
      </c>
      <c r="D39" s="193"/>
      <c r="E39" s="193"/>
      <c r="F39" s="34"/>
      <c r="G39" s="46"/>
      <c r="H39" s="46"/>
      <c r="I39" s="46"/>
      <c r="J39" s="36"/>
      <c r="K39" s="24" t="s">
        <v>244</v>
      </c>
      <c r="L39" s="24" t="s">
        <v>105</v>
      </c>
      <c r="M39" s="37"/>
    </row>
    <row r="40" spans="1:13" ht="13.5" customHeight="1">
      <c r="A40" s="43" t="s">
        <v>222</v>
      </c>
      <c r="B40" s="50" t="s">
        <v>228</v>
      </c>
      <c r="C40" s="197" t="s">
        <v>362</v>
      </c>
      <c r="D40" s="198"/>
      <c r="E40" s="199"/>
      <c r="F40" s="34"/>
      <c r="G40" s="46"/>
      <c r="H40" s="46"/>
      <c r="I40" s="46"/>
      <c r="J40" s="36"/>
      <c r="K40" s="33" t="s">
        <v>245</v>
      </c>
      <c r="L40" s="25" t="s">
        <v>105</v>
      </c>
      <c r="M40" s="37"/>
    </row>
    <row r="41" spans="1:13" ht="33" customHeight="1">
      <c r="A41" s="43" t="s">
        <v>231</v>
      </c>
      <c r="B41" s="42" t="s">
        <v>11</v>
      </c>
      <c r="C41" s="193" t="s">
        <v>292</v>
      </c>
      <c r="D41" s="193"/>
      <c r="E41" s="193"/>
      <c r="F41" s="34"/>
      <c r="G41" s="46"/>
      <c r="H41" s="46"/>
      <c r="I41" s="46"/>
      <c r="J41" s="36"/>
      <c r="K41" s="25" t="s">
        <v>246</v>
      </c>
      <c r="L41" s="24" t="s">
        <v>105</v>
      </c>
      <c r="M41" s="37"/>
    </row>
    <row r="42" spans="1:13" ht="13.5" customHeight="1">
      <c r="A42" s="43" t="s">
        <v>232</v>
      </c>
      <c r="B42" s="41" t="s">
        <v>6</v>
      </c>
      <c r="C42" s="191" t="s">
        <v>293</v>
      </c>
      <c r="D42" s="191"/>
      <c r="E42" s="191"/>
      <c r="F42" s="34"/>
      <c r="G42" s="46"/>
      <c r="H42" s="46"/>
      <c r="I42" s="46"/>
      <c r="J42" s="36"/>
      <c r="K42" s="24" t="s">
        <v>344</v>
      </c>
      <c r="L42" s="25" t="s">
        <v>105</v>
      </c>
      <c r="M42" s="37"/>
    </row>
    <row r="43" spans="1:13" ht="22.5" customHeight="1">
      <c r="A43" s="43" t="s">
        <v>233</v>
      </c>
      <c r="B43" s="42" t="s">
        <v>8</v>
      </c>
      <c r="C43" s="193" t="s">
        <v>294</v>
      </c>
      <c r="D43" s="193"/>
      <c r="E43" s="193"/>
      <c r="F43" s="34"/>
      <c r="G43" s="46"/>
      <c r="H43" s="46"/>
      <c r="I43" s="46"/>
      <c r="J43" s="36"/>
      <c r="K43" s="24" t="s">
        <v>345</v>
      </c>
      <c r="L43" s="24" t="s">
        <v>105</v>
      </c>
      <c r="M43" s="37"/>
    </row>
    <row r="44" spans="1:13" ht="13.5" customHeight="1">
      <c r="A44" s="43" t="s">
        <v>234</v>
      </c>
      <c r="B44" s="41" t="s">
        <v>6</v>
      </c>
      <c r="C44" s="191" t="s">
        <v>295</v>
      </c>
      <c r="D44" s="191"/>
      <c r="E44" s="191"/>
      <c r="F44" s="34"/>
      <c r="G44" s="46"/>
      <c r="H44" s="46"/>
      <c r="I44" s="46"/>
      <c r="J44" s="36"/>
      <c r="K44" s="25" t="s">
        <v>346</v>
      </c>
      <c r="L44" s="25" t="s">
        <v>105</v>
      </c>
      <c r="M44" s="37"/>
    </row>
    <row r="45" spans="1:13" ht="45">
      <c r="A45" s="43" t="s">
        <v>235</v>
      </c>
      <c r="B45" s="42" t="s">
        <v>361</v>
      </c>
      <c r="C45" s="193" t="s">
        <v>417</v>
      </c>
      <c r="D45" s="193"/>
      <c r="E45" s="193"/>
      <c r="F45" s="34"/>
      <c r="G45" s="46"/>
      <c r="H45" s="46"/>
      <c r="I45" s="46"/>
      <c r="J45" s="36"/>
      <c r="K45" s="24" t="s">
        <v>347</v>
      </c>
      <c r="L45" s="24" t="s">
        <v>105</v>
      </c>
      <c r="M45" s="37"/>
    </row>
    <row r="46" spans="1:13" ht="12.75">
      <c r="A46" s="43" t="s">
        <v>236</v>
      </c>
      <c r="B46" s="41" t="s">
        <v>6</v>
      </c>
      <c r="C46" s="191" t="s">
        <v>340</v>
      </c>
      <c r="D46" s="191"/>
      <c r="E46" s="191"/>
      <c r="F46" s="34"/>
      <c r="G46" s="46"/>
      <c r="H46" s="46"/>
      <c r="I46" s="46"/>
      <c r="J46" s="36"/>
      <c r="K46" s="24" t="s">
        <v>348</v>
      </c>
      <c r="L46" s="24" t="s">
        <v>105</v>
      </c>
      <c r="M46" s="37"/>
    </row>
    <row r="47" spans="1:13" ht="13.5" customHeight="1">
      <c r="A47" s="43" t="s">
        <v>237</v>
      </c>
      <c r="B47" s="47" t="s">
        <v>317</v>
      </c>
      <c r="C47" s="193" t="s">
        <v>309</v>
      </c>
      <c r="D47" s="193"/>
      <c r="E47" s="193"/>
      <c r="F47" s="34"/>
      <c r="G47" s="46"/>
      <c r="H47" s="46"/>
      <c r="I47" s="46"/>
      <c r="J47" s="36"/>
      <c r="K47" s="26" t="s">
        <v>349</v>
      </c>
      <c r="L47" s="24" t="s">
        <v>105</v>
      </c>
      <c r="M47" s="37"/>
    </row>
    <row r="48" spans="1:13" ht="13.5" customHeight="1">
      <c r="A48" s="43" t="s">
        <v>238</v>
      </c>
      <c r="B48" s="49" t="s">
        <v>318</v>
      </c>
      <c r="C48" s="193" t="s">
        <v>310</v>
      </c>
      <c r="D48" s="193"/>
      <c r="E48" s="193"/>
      <c r="F48" s="34"/>
      <c r="G48" s="46"/>
      <c r="H48" s="46"/>
      <c r="I48" s="46"/>
      <c r="J48" s="36"/>
      <c r="K48" s="24" t="s">
        <v>350</v>
      </c>
      <c r="L48" s="24" t="s">
        <v>105</v>
      </c>
      <c r="M48" s="37"/>
    </row>
    <row r="49" spans="1:13" ht="13.5" customHeight="1">
      <c r="A49" s="43" t="s">
        <v>239</v>
      </c>
      <c r="B49" s="47" t="s">
        <v>393</v>
      </c>
      <c r="C49" s="193" t="s">
        <v>394</v>
      </c>
      <c r="D49" s="193"/>
      <c r="E49" s="193"/>
      <c r="F49" s="34"/>
      <c r="G49" s="46"/>
      <c r="H49" s="46"/>
      <c r="I49" s="46"/>
      <c r="J49" s="36"/>
      <c r="K49" s="24" t="s">
        <v>351</v>
      </c>
      <c r="L49" s="24" t="s">
        <v>105</v>
      </c>
      <c r="M49" s="37"/>
    </row>
    <row r="50" spans="1:13" ht="13.5" customHeight="1">
      <c r="A50" s="43" t="s">
        <v>240</v>
      </c>
      <c r="B50" s="49" t="s">
        <v>318</v>
      </c>
      <c r="C50" s="193" t="s">
        <v>395</v>
      </c>
      <c r="D50" s="193"/>
      <c r="E50" s="193"/>
      <c r="F50" s="34"/>
      <c r="G50" s="46"/>
      <c r="H50" s="46"/>
      <c r="I50" s="46"/>
      <c r="J50" s="36"/>
      <c r="K50" s="24" t="s">
        <v>352</v>
      </c>
      <c r="L50" s="24" t="s">
        <v>105</v>
      </c>
      <c r="M50" s="37"/>
    </row>
    <row r="51" spans="1:13" s="5" customFormat="1" ht="25.5" customHeight="1">
      <c r="A51" s="43" t="s">
        <v>241</v>
      </c>
      <c r="B51" s="47" t="s">
        <v>254</v>
      </c>
      <c r="C51" s="192" t="s">
        <v>399</v>
      </c>
      <c r="D51" s="192"/>
      <c r="E51" s="192"/>
      <c r="F51" s="34"/>
      <c r="G51" s="46"/>
      <c r="H51" s="46"/>
      <c r="I51" s="46"/>
      <c r="J51" s="36"/>
      <c r="K51" s="26" t="s">
        <v>353</v>
      </c>
      <c r="L51" s="25" t="s">
        <v>105</v>
      </c>
      <c r="M51" s="38"/>
    </row>
    <row r="52" spans="1:13" ht="25.5" customHeight="1">
      <c r="A52" s="43" t="s">
        <v>242</v>
      </c>
      <c r="B52" s="23" t="s">
        <v>191</v>
      </c>
      <c r="C52" s="204" t="s">
        <v>296</v>
      </c>
      <c r="D52" s="205"/>
      <c r="E52" s="206"/>
      <c r="F52" s="34"/>
      <c r="G52" s="35"/>
      <c r="H52" s="35"/>
      <c r="I52" s="35"/>
      <c r="J52" s="36"/>
      <c r="K52" s="24" t="s">
        <v>354</v>
      </c>
      <c r="L52" s="24" t="s">
        <v>105</v>
      </c>
      <c r="M52" s="37"/>
    </row>
    <row r="53" spans="1:13" s="5" customFormat="1" ht="22.5" customHeight="1">
      <c r="A53" s="43" t="s">
        <v>243</v>
      </c>
      <c r="B53" s="42" t="s">
        <v>187</v>
      </c>
      <c r="C53" s="204" t="s">
        <v>435</v>
      </c>
      <c r="D53" s="205"/>
      <c r="E53" s="206"/>
      <c r="F53" s="34"/>
      <c r="G53" s="35"/>
      <c r="H53" s="35"/>
      <c r="I53" s="35"/>
      <c r="J53" s="36"/>
      <c r="K53" s="24" t="s">
        <v>355</v>
      </c>
      <c r="L53" s="25" t="s">
        <v>105</v>
      </c>
      <c r="M53" s="38"/>
    </row>
    <row r="54" spans="1:13" s="5" customFormat="1" ht="25.5" customHeight="1">
      <c r="A54" s="43" t="s">
        <v>311</v>
      </c>
      <c r="B54" s="21" t="s">
        <v>229</v>
      </c>
      <c r="C54" s="197" t="s">
        <v>391</v>
      </c>
      <c r="D54" s="198"/>
      <c r="E54" s="199"/>
      <c r="F54" s="34"/>
      <c r="G54" s="35"/>
      <c r="H54" s="35"/>
      <c r="I54" s="35"/>
      <c r="J54" s="36"/>
      <c r="K54" s="26" t="s">
        <v>356</v>
      </c>
      <c r="L54" s="24" t="s">
        <v>105</v>
      </c>
      <c r="M54" s="38"/>
    </row>
    <row r="55" spans="1:13" ht="22.5" customHeight="1">
      <c r="A55" s="43" t="s">
        <v>312</v>
      </c>
      <c r="B55" s="42" t="s">
        <v>192</v>
      </c>
      <c r="C55" s="194" t="s">
        <v>297</v>
      </c>
      <c r="D55" s="195"/>
      <c r="E55" s="196"/>
      <c r="F55" s="34"/>
      <c r="G55" s="35"/>
      <c r="H55" s="35"/>
      <c r="I55" s="35"/>
      <c r="J55" s="36"/>
      <c r="K55" s="24" t="s">
        <v>357</v>
      </c>
      <c r="L55" s="25" t="s">
        <v>105</v>
      </c>
      <c r="M55" s="37"/>
    </row>
    <row r="56" spans="1:13" ht="22.5" customHeight="1">
      <c r="A56" s="43" t="s">
        <v>315</v>
      </c>
      <c r="B56" s="42" t="s">
        <v>190</v>
      </c>
      <c r="C56" s="194" t="s">
        <v>298</v>
      </c>
      <c r="D56" s="195"/>
      <c r="E56" s="196"/>
      <c r="F56" s="34"/>
      <c r="G56" s="35"/>
      <c r="H56" s="35"/>
      <c r="I56" s="35"/>
      <c r="J56" s="36"/>
      <c r="K56" s="24" t="s">
        <v>358</v>
      </c>
      <c r="L56" s="25" t="s">
        <v>105</v>
      </c>
      <c r="M56" s="37"/>
    </row>
    <row r="57" spans="1:13" ht="22.5" customHeight="1">
      <c r="A57" s="43" t="s">
        <v>342</v>
      </c>
      <c r="B57" s="42" t="s">
        <v>189</v>
      </c>
      <c r="C57" s="194" t="s">
        <v>299</v>
      </c>
      <c r="D57" s="195"/>
      <c r="E57" s="196"/>
      <c r="F57" s="34"/>
      <c r="G57" s="35"/>
      <c r="H57" s="35"/>
      <c r="I57" s="35"/>
      <c r="J57" s="36"/>
      <c r="K57" s="24" t="s">
        <v>359</v>
      </c>
      <c r="L57" s="25" t="s">
        <v>105</v>
      </c>
      <c r="M57" s="37"/>
    </row>
    <row r="58" spans="1:13" s="5" customFormat="1" ht="25.5" customHeight="1">
      <c r="A58" s="43" t="s">
        <v>343</v>
      </c>
      <c r="B58" s="21" t="s">
        <v>230</v>
      </c>
      <c r="C58" s="197" t="s">
        <v>392</v>
      </c>
      <c r="D58" s="198"/>
      <c r="E58" s="199"/>
      <c r="F58" s="34"/>
      <c r="G58" s="35"/>
      <c r="H58" s="35"/>
      <c r="I58" s="35"/>
      <c r="J58" s="36"/>
      <c r="K58" s="26" t="s">
        <v>360</v>
      </c>
      <c r="L58" s="24" t="s">
        <v>105</v>
      </c>
      <c r="M58" s="38"/>
    </row>
    <row r="59" spans="1:13" ht="22.5" customHeight="1">
      <c r="A59" s="43" t="s">
        <v>387</v>
      </c>
      <c r="B59" s="42" t="s">
        <v>189</v>
      </c>
      <c r="C59" s="194" t="s">
        <v>300</v>
      </c>
      <c r="D59" s="195"/>
      <c r="E59" s="196"/>
      <c r="F59" s="34"/>
      <c r="G59" s="35"/>
      <c r="H59" s="35"/>
      <c r="I59" s="35"/>
      <c r="J59" s="36"/>
      <c r="K59" s="24" t="s">
        <v>389</v>
      </c>
      <c r="L59" s="25" t="s">
        <v>105</v>
      </c>
      <c r="M59" s="37"/>
    </row>
    <row r="60" spans="1:13" ht="22.5" customHeight="1">
      <c r="A60" s="43" t="s">
        <v>388</v>
      </c>
      <c r="B60" s="42" t="s">
        <v>192</v>
      </c>
      <c r="C60" s="194" t="s">
        <v>301</v>
      </c>
      <c r="D60" s="195"/>
      <c r="E60" s="196"/>
      <c r="F60" s="34"/>
      <c r="G60" s="35"/>
      <c r="H60" s="35"/>
      <c r="I60" s="35"/>
      <c r="J60" s="36"/>
      <c r="K60" s="24" t="s">
        <v>390</v>
      </c>
      <c r="L60" s="25" t="s">
        <v>105</v>
      </c>
      <c r="M60" s="37"/>
    </row>
    <row r="61" spans="2:13" ht="13.5" customHeight="1">
      <c r="B61" s="58"/>
      <c r="C61" s="59"/>
      <c r="D61" s="59"/>
      <c r="E61" s="59"/>
      <c r="F61" s="35"/>
      <c r="G61" s="35"/>
      <c r="H61" s="35"/>
      <c r="I61" s="35"/>
      <c r="J61" s="35"/>
      <c r="K61" s="57"/>
      <c r="L61" s="57"/>
      <c r="M61" s="37"/>
    </row>
    <row r="62" spans="1:13" ht="13.5" customHeight="1">
      <c r="A62" s="43" t="s">
        <v>12</v>
      </c>
      <c r="B62" s="23" t="s">
        <v>5</v>
      </c>
      <c r="C62" s="200" t="s">
        <v>322</v>
      </c>
      <c r="D62" s="200"/>
      <c r="E62" s="200"/>
      <c r="F62" s="200"/>
      <c r="G62" s="200"/>
      <c r="H62" s="200"/>
      <c r="I62" s="200"/>
      <c r="J62" s="200"/>
      <c r="K62" s="39">
        <v>100</v>
      </c>
      <c r="L62" s="39" t="s">
        <v>105</v>
      </c>
      <c r="M62" s="37"/>
    </row>
    <row r="63" spans="1:13" ht="40.5" customHeight="1">
      <c r="A63" s="43" t="s">
        <v>323</v>
      </c>
      <c r="B63" s="23" t="s">
        <v>320</v>
      </c>
      <c r="C63" s="201" t="s">
        <v>436</v>
      </c>
      <c r="D63" s="202"/>
      <c r="E63" s="202"/>
      <c r="F63" s="202"/>
      <c r="G63" s="202"/>
      <c r="H63" s="202"/>
      <c r="I63" s="202"/>
      <c r="J63" s="203"/>
      <c r="K63" s="26" t="s">
        <v>336</v>
      </c>
      <c r="L63" s="39" t="s">
        <v>105</v>
      </c>
      <c r="M63" s="37"/>
    </row>
    <row r="64" spans="1:13" s="5" customFormat="1" ht="13.5" customHeight="1">
      <c r="A64" s="45" t="s">
        <v>324</v>
      </c>
      <c r="B64" s="42" t="s">
        <v>321</v>
      </c>
      <c r="C64" s="200" t="s">
        <v>325</v>
      </c>
      <c r="D64" s="200"/>
      <c r="E64" s="200"/>
      <c r="F64" s="200"/>
      <c r="G64" s="200"/>
      <c r="H64" s="200"/>
      <c r="I64" s="200"/>
      <c r="J64" s="200"/>
      <c r="K64" s="26" t="s">
        <v>337</v>
      </c>
      <c r="L64" s="39" t="s">
        <v>105</v>
      </c>
      <c r="M64" s="3"/>
    </row>
    <row r="65" spans="2:13" ht="49.5" customHeight="1">
      <c r="B65" s="207" t="str">
        <f>CONCATENATE("Informacja z wykonania budżetów miast na prawach powiatu za ",definicja!$D$119," ",definicja!$C$120," roku")</f>
        <v>Informacja z wykonania budżetów miast na prawach powiatu za - 2021 roku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</row>
    <row r="66" spans="1:13" s="5" customFormat="1" ht="13.5" customHeight="1">
      <c r="A66" s="44"/>
      <c r="B66" s="6"/>
      <c r="C66" s="7"/>
      <c r="D66" s="8"/>
      <c r="E66" s="8"/>
      <c r="F66" s="4"/>
      <c r="G66" s="4"/>
      <c r="H66" s="4"/>
      <c r="I66" s="4"/>
      <c r="J66" s="4"/>
      <c r="K66" s="9"/>
      <c r="L66" s="9"/>
      <c r="M66" s="3"/>
    </row>
    <row r="67" spans="2:27" ht="29.25" customHeight="1">
      <c r="B67" s="159" t="s">
        <v>0</v>
      </c>
      <c r="C67" s="160" t="s">
        <v>215</v>
      </c>
      <c r="D67" s="160" t="s">
        <v>216</v>
      </c>
      <c r="E67" s="160" t="s">
        <v>217</v>
      </c>
      <c r="F67" s="160" t="s">
        <v>40</v>
      </c>
      <c r="G67" s="160"/>
      <c r="H67" s="160"/>
      <c r="I67" s="160" t="s">
        <v>396</v>
      </c>
      <c r="J67" s="160"/>
      <c r="K67" s="160" t="s">
        <v>2</v>
      </c>
      <c r="L67" s="163" t="s">
        <v>178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2:27" ht="18" customHeight="1">
      <c r="B68" s="159"/>
      <c r="C68" s="160"/>
      <c r="D68" s="166"/>
      <c r="E68" s="160"/>
      <c r="F68" s="167" t="s">
        <v>218</v>
      </c>
      <c r="G68" s="169" t="s">
        <v>177</v>
      </c>
      <c r="H68" s="166"/>
      <c r="I68" s="160"/>
      <c r="J68" s="160"/>
      <c r="K68" s="160"/>
      <c r="L68" s="163"/>
      <c r="M68" s="11"/>
      <c r="N68" s="12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2:27" ht="36" customHeight="1">
      <c r="B69" s="159"/>
      <c r="C69" s="160"/>
      <c r="D69" s="166"/>
      <c r="E69" s="160"/>
      <c r="F69" s="166"/>
      <c r="G69" s="18" t="s">
        <v>196</v>
      </c>
      <c r="H69" s="18" t="s">
        <v>197</v>
      </c>
      <c r="I69" s="160"/>
      <c r="J69" s="160"/>
      <c r="K69" s="160"/>
      <c r="L69" s="163"/>
      <c r="M69" s="11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2:27" ht="13.5" customHeight="1">
      <c r="B70" s="159"/>
      <c r="C70" s="17" t="s">
        <v>199</v>
      </c>
      <c r="D70" s="17" t="s">
        <v>207</v>
      </c>
      <c r="E70" s="17" t="s">
        <v>208</v>
      </c>
      <c r="F70" s="17" t="s">
        <v>209</v>
      </c>
      <c r="G70" s="17" t="s">
        <v>210</v>
      </c>
      <c r="H70" s="17" t="s">
        <v>211</v>
      </c>
      <c r="I70" s="236" t="s">
        <v>212</v>
      </c>
      <c r="J70" s="237"/>
      <c r="K70" s="182" t="s">
        <v>4</v>
      </c>
      <c r="L70" s="182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27" ht="11.25" customHeight="1">
      <c r="B71" s="17">
        <v>1</v>
      </c>
      <c r="C71" s="19">
        <v>2</v>
      </c>
      <c r="D71" s="19">
        <v>3</v>
      </c>
      <c r="E71" s="19">
        <v>4</v>
      </c>
      <c r="F71" s="17">
        <v>5</v>
      </c>
      <c r="G71" s="17">
        <v>6</v>
      </c>
      <c r="H71" s="19">
        <v>7</v>
      </c>
      <c r="I71" s="166">
        <v>8</v>
      </c>
      <c r="J71" s="166"/>
      <c r="K71" s="17">
        <v>9</v>
      </c>
      <c r="L71" s="19">
        <v>10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12" ht="25.5" customHeight="1">
      <c r="A72" s="43" t="s">
        <v>43</v>
      </c>
      <c r="B72" s="20" t="s">
        <v>255</v>
      </c>
      <c r="C72" s="188" t="s">
        <v>198</v>
      </c>
      <c r="D72" s="188"/>
      <c r="E72" s="188"/>
      <c r="F72" s="188"/>
      <c r="G72" s="188"/>
      <c r="H72" s="188"/>
      <c r="I72" s="188"/>
      <c r="J72" s="188"/>
      <c r="K72" s="28">
        <v>100</v>
      </c>
      <c r="L72" s="28" t="s">
        <v>105</v>
      </c>
    </row>
    <row r="73" spans="1:12" ht="47.25" customHeight="1">
      <c r="A73" s="43" t="s">
        <v>44</v>
      </c>
      <c r="B73" s="21" t="s">
        <v>42</v>
      </c>
      <c r="C73" s="187" t="s">
        <v>424</v>
      </c>
      <c r="D73" s="187"/>
      <c r="E73" s="187"/>
      <c r="F73" s="187"/>
      <c r="G73" s="187"/>
      <c r="H73" s="187"/>
      <c r="I73" s="187"/>
      <c r="J73" s="187"/>
      <c r="K73" s="29" t="s">
        <v>119</v>
      </c>
      <c r="L73" s="29" t="s">
        <v>105</v>
      </c>
    </row>
    <row r="74" spans="1:12" ht="22.5" customHeight="1">
      <c r="A74" s="43" t="s">
        <v>45</v>
      </c>
      <c r="B74" s="22" t="s">
        <v>41</v>
      </c>
      <c r="C74" s="234" t="s">
        <v>427</v>
      </c>
      <c r="D74" s="234"/>
      <c r="E74" s="234"/>
      <c r="F74" s="234"/>
      <c r="G74" s="234"/>
      <c r="H74" s="234"/>
      <c r="I74" s="234"/>
      <c r="J74" s="234"/>
      <c r="K74" s="30" t="s">
        <v>120</v>
      </c>
      <c r="L74" s="30" t="s">
        <v>105</v>
      </c>
    </row>
    <row r="75" spans="1:12" ht="25.5" customHeight="1">
      <c r="A75" s="43" t="s">
        <v>46</v>
      </c>
      <c r="B75" s="21" t="s">
        <v>256</v>
      </c>
      <c r="C75" s="187" t="s">
        <v>130</v>
      </c>
      <c r="D75" s="187"/>
      <c r="E75" s="187"/>
      <c r="F75" s="187"/>
      <c r="G75" s="187"/>
      <c r="H75" s="187"/>
      <c r="I75" s="187"/>
      <c r="J75" s="187"/>
      <c r="K75" s="29" t="s">
        <v>121</v>
      </c>
      <c r="L75" s="29" t="s">
        <v>105</v>
      </c>
    </row>
    <row r="76" spans="1:12" ht="27" customHeight="1">
      <c r="A76" s="43" t="s">
        <v>47</v>
      </c>
      <c r="B76" s="22" t="s">
        <v>418</v>
      </c>
      <c r="C76" s="185" t="s">
        <v>419</v>
      </c>
      <c r="D76" s="185"/>
      <c r="E76" s="185"/>
      <c r="F76" s="185"/>
      <c r="G76" s="185"/>
      <c r="H76" s="185"/>
      <c r="I76" s="185"/>
      <c r="J76" s="185"/>
      <c r="K76" s="30" t="s">
        <v>122</v>
      </c>
      <c r="L76" s="30" t="s">
        <v>105</v>
      </c>
    </row>
    <row r="77" spans="1:14" ht="36.75" customHeight="1">
      <c r="A77" s="43" t="s">
        <v>48</v>
      </c>
      <c r="B77" s="23" t="s">
        <v>195</v>
      </c>
      <c r="C77" s="235" t="s">
        <v>428</v>
      </c>
      <c r="D77" s="235"/>
      <c r="E77" s="235"/>
      <c r="F77" s="235"/>
      <c r="G77" s="235"/>
      <c r="H77" s="235"/>
      <c r="I77" s="235"/>
      <c r="J77" s="235"/>
      <c r="K77" s="31" t="s">
        <v>123</v>
      </c>
      <c r="L77" s="31" t="s">
        <v>105</v>
      </c>
      <c r="N77" s="81"/>
    </row>
    <row r="78" spans="1:12" ht="13.5" customHeight="1">
      <c r="A78" s="43" t="s">
        <v>49</v>
      </c>
      <c r="B78" s="22" t="s">
        <v>194</v>
      </c>
      <c r="C78" s="185" t="s">
        <v>425</v>
      </c>
      <c r="D78" s="185"/>
      <c r="E78" s="185"/>
      <c r="F78" s="185"/>
      <c r="G78" s="185"/>
      <c r="H78" s="185"/>
      <c r="I78" s="185"/>
      <c r="J78" s="185"/>
      <c r="K78" s="30" t="s">
        <v>124</v>
      </c>
      <c r="L78" s="30" t="s">
        <v>105</v>
      </c>
    </row>
    <row r="79" spans="1:12" ht="22.5" customHeight="1">
      <c r="A79" s="43" t="s">
        <v>50</v>
      </c>
      <c r="B79" s="23" t="s">
        <v>302</v>
      </c>
      <c r="C79" s="235" t="s">
        <v>420</v>
      </c>
      <c r="D79" s="235"/>
      <c r="E79" s="235"/>
      <c r="F79" s="235"/>
      <c r="G79" s="235"/>
      <c r="H79" s="235"/>
      <c r="I79" s="235"/>
      <c r="J79" s="235"/>
      <c r="K79" s="31" t="s">
        <v>125</v>
      </c>
      <c r="L79" s="31" t="s">
        <v>105</v>
      </c>
    </row>
    <row r="80" spans="1:12" ht="22.5" customHeight="1">
      <c r="A80" s="43" t="s">
        <v>51</v>
      </c>
      <c r="B80" s="23" t="s">
        <v>316</v>
      </c>
      <c r="C80" s="238" t="s">
        <v>421</v>
      </c>
      <c r="D80" s="239"/>
      <c r="E80" s="239"/>
      <c r="F80" s="239"/>
      <c r="G80" s="239"/>
      <c r="H80" s="239"/>
      <c r="I80" s="239"/>
      <c r="J80" s="240"/>
      <c r="K80" s="31" t="s">
        <v>126</v>
      </c>
      <c r="L80" s="31" t="s">
        <v>105</v>
      </c>
    </row>
    <row r="81" spans="1:12" ht="13.5" customHeight="1">
      <c r="A81" s="43" t="s">
        <v>52</v>
      </c>
      <c r="B81" s="22" t="s">
        <v>193</v>
      </c>
      <c r="C81" s="185" t="s">
        <v>423</v>
      </c>
      <c r="D81" s="185"/>
      <c r="E81" s="185"/>
      <c r="F81" s="185"/>
      <c r="G81" s="185"/>
      <c r="H81" s="185"/>
      <c r="I81" s="185"/>
      <c r="J81" s="185"/>
      <c r="K81" s="30" t="s">
        <v>127</v>
      </c>
      <c r="L81" s="30" t="s">
        <v>105</v>
      </c>
    </row>
    <row r="82" spans="1:13" ht="24" customHeight="1">
      <c r="A82" s="43" t="s">
        <v>53</v>
      </c>
      <c r="B82" s="21" t="s">
        <v>54</v>
      </c>
      <c r="C82" s="187" t="s">
        <v>128</v>
      </c>
      <c r="D82" s="187"/>
      <c r="E82" s="187"/>
      <c r="F82" s="187"/>
      <c r="G82" s="187"/>
      <c r="H82" s="187"/>
      <c r="I82" s="187"/>
      <c r="J82" s="187"/>
      <c r="K82" s="32"/>
      <c r="L82" s="32"/>
      <c r="M82" s="13"/>
    </row>
    <row r="83" spans="2:13" ht="12" customHeight="1" thickBot="1">
      <c r="B83" s="14"/>
      <c r="C83" s="15"/>
      <c r="D83" s="15"/>
      <c r="E83" s="15"/>
      <c r="F83" s="2"/>
      <c r="G83" s="2"/>
      <c r="H83" s="2"/>
      <c r="I83" s="2"/>
      <c r="L83" s="10"/>
      <c r="M83" s="10"/>
    </row>
    <row r="84" spans="2:13" ht="12" customHeight="1">
      <c r="B84" s="60" t="s">
        <v>326</v>
      </c>
      <c r="C84" s="15"/>
      <c r="D84" s="15"/>
      <c r="E84" s="15"/>
      <c r="F84" s="2"/>
      <c r="G84" s="2"/>
      <c r="H84" s="2"/>
      <c r="I84" s="2"/>
      <c r="L84" s="10"/>
      <c r="M84" s="10"/>
    </row>
    <row r="85" spans="1:13" ht="24.75" customHeight="1">
      <c r="A85" s="43" t="s">
        <v>326</v>
      </c>
      <c r="B85" s="20" t="s">
        <v>332</v>
      </c>
      <c r="C85" s="244" t="s">
        <v>422</v>
      </c>
      <c r="D85" s="245"/>
      <c r="E85" s="245"/>
      <c r="F85" s="245"/>
      <c r="G85" s="245"/>
      <c r="H85" s="245"/>
      <c r="I85" s="245"/>
      <c r="J85" s="245"/>
      <c r="K85" s="27">
        <v>100</v>
      </c>
      <c r="L85" s="27" t="s">
        <v>105</v>
      </c>
      <c r="M85" s="10"/>
    </row>
    <row r="86" spans="1:13" ht="42.75" customHeight="1">
      <c r="A86" s="43" t="s">
        <v>329</v>
      </c>
      <c r="B86" s="62" t="s">
        <v>327</v>
      </c>
      <c r="C86" s="246" t="s">
        <v>426</v>
      </c>
      <c r="D86" s="247"/>
      <c r="E86" s="247"/>
      <c r="F86" s="247"/>
      <c r="G86" s="247"/>
      <c r="H86" s="247"/>
      <c r="I86" s="247"/>
      <c r="J86" s="248"/>
      <c r="K86" s="31" t="s">
        <v>334</v>
      </c>
      <c r="L86" s="27" t="s">
        <v>105</v>
      </c>
      <c r="M86" s="10"/>
    </row>
    <row r="87" spans="1:12" ht="16.5" customHeight="1">
      <c r="A87" s="43" t="s">
        <v>330</v>
      </c>
      <c r="B87" s="61" t="s">
        <v>328</v>
      </c>
      <c r="C87" s="244" t="s">
        <v>331</v>
      </c>
      <c r="D87" s="245"/>
      <c r="E87" s="245"/>
      <c r="F87" s="245"/>
      <c r="G87" s="245"/>
      <c r="H87" s="245"/>
      <c r="I87" s="245"/>
      <c r="J87" s="245"/>
      <c r="K87" s="31" t="s">
        <v>335</v>
      </c>
      <c r="L87" s="27" t="s">
        <v>105</v>
      </c>
    </row>
    <row r="89" spans="2:13" ht="58.5" customHeight="1">
      <c r="B89" s="207" t="str">
        <f>CONCATENATE("Informacja z wykonania budżetów miast na prawach powiatu za ",definicja!$D$119," ",definicja!$C$120," roku")</f>
        <v>Informacja z wykonania budżetów miast na prawach powiatu za - 2021 roku</v>
      </c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</row>
    <row r="90" spans="1:9" ht="12.75">
      <c r="A90"/>
      <c r="B90" s="230" t="s">
        <v>55</v>
      </c>
      <c r="C90" s="230"/>
      <c r="D90" s="166" t="s">
        <v>56</v>
      </c>
      <c r="E90" s="166"/>
      <c r="F90" s="166" t="s">
        <v>1</v>
      </c>
      <c r="G90" s="166"/>
      <c r="H90" s="19" t="s">
        <v>131</v>
      </c>
      <c r="I90" s="19" t="s">
        <v>132</v>
      </c>
    </row>
    <row r="91" spans="1:9" ht="12.75">
      <c r="A91"/>
      <c r="B91" s="230"/>
      <c r="C91" s="230"/>
      <c r="D91" s="160" t="s">
        <v>213</v>
      </c>
      <c r="E91" s="160"/>
      <c r="F91" s="160" t="s">
        <v>214</v>
      </c>
      <c r="G91" s="160"/>
      <c r="H91" s="249" t="s">
        <v>4</v>
      </c>
      <c r="I91" s="249"/>
    </row>
    <row r="92" spans="1:9" ht="12.75">
      <c r="A92"/>
      <c r="B92" s="225">
        <v>1</v>
      </c>
      <c r="C92" s="160"/>
      <c r="D92" s="243">
        <v>2</v>
      </c>
      <c r="E92" s="243"/>
      <c r="F92" s="243">
        <v>3</v>
      </c>
      <c r="G92" s="243"/>
      <c r="H92" s="64">
        <v>4</v>
      </c>
      <c r="I92" s="64">
        <v>5</v>
      </c>
    </row>
    <row r="93" spans="1:9" ht="29.25" customHeight="1">
      <c r="A93" s="43" t="s">
        <v>57</v>
      </c>
      <c r="B93" s="208" t="s">
        <v>257</v>
      </c>
      <c r="C93" s="209"/>
      <c r="D93" s="216" t="s">
        <v>262</v>
      </c>
      <c r="E93" s="217"/>
      <c r="F93" s="217"/>
      <c r="G93" s="218"/>
      <c r="H93" s="66">
        <v>100</v>
      </c>
      <c r="I93" s="69" t="s">
        <v>133</v>
      </c>
    </row>
    <row r="94" spans="1:9" ht="27" customHeight="1">
      <c r="A94" s="43" t="s">
        <v>58</v>
      </c>
      <c r="B94" s="213" t="s">
        <v>408</v>
      </c>
      <c r="C94" s="213"/>
      <c r="D94" s="221" t="s">
        <v>263</v>
      </c>
      <c r="E94" s="222"/>
      <c r="F94" s="222"/>
      <c r="G94" s="223"/>
      <c r="H94" s="67" t="s">
        <v>134</v>
      </c>
      <c r="I94" s="67" t="s">
        <v>135</v>
      </c>
    </row>
    <row r="95" spans="1:9" ht="12.75">
      <c r="A95" s="43" t="s">
        <v>160</v>
      </c>
      <c r="B95" s="226" t="s">
        <v>409</v>
      </c>
      <c r="C95" s="226" t="s">
        <v>161</v>
      </c>
      <c r="D95" s="210" t="s">
        <v>264</v>
      </c>
      <c r="E95" s="211"/>
      <c r="F95" s="211"/>
      <c r="G95" s="212"/>
      <c r="H95" s="68" t="s">
        <v>162</v>
      </c>
      <c r="I95" s="68" t="s">
        <v>163</v>
      </c>
    </row>
    <row r="96" spans="1:9" ht="12.75">
      <c r="A96" s="43" t="s">
        <v>59</v>
      </c>
      <c r="B96" s="224" t="s">
        <v>410</v>
      </c>
      <c r="C96" s="224" t="s">
        <v>164</v>
      </c>
      <c r="D96" s="210" t="s">
        <v>265</v>
      </c>
      <c r="E96" s="211"/>
      <c r="F96" s="211"/>
      <c r="G96" s="212"/>
      <c r="H96" s="68" t="s">
        <v>136</v>
      </c>
      <c r="I96" s="68" t="s">
        <v>137</v>
      </c>
    </row>
    <row r="97" spans="1:9" ht="12.75">
      <c r="A97" s="43" t="s">
        <v>60</v>
      </c>
      <c r="B97" s="213" t="s">
        <v>411</v>
      </c>
      <c r="C97" s="213" t="s">
        <v>165</v>
      </c>
      <c r="D97" s="221" t="s">
        <v>266</v>
      </c>
      <c r="E97" s="222"/>
      <c r="F97" s="222"/>
      <c r="G97" s="223"/>
      <c r="H97" s="67" t="s">
        <v>138</v>
      </c>
      <c r="I97" s="67" t="s">
        <v>139</v>
      </c>
    </row>
    <row r="98" spans="1:9" ht="31.5" customHeight="1">
      <c r="A98" s="43" t="s">
        <v>429</v>
      </c>
      <c r="B98" s="213" t="s">
        <v>430</v>
      </c>
      <c r="C98" s="213"/>
      <c r="D98" s="221" t="s">
        <v>431</v>
      </c>
      <c r="E98" s="222"/>
      <c r="F98" s="222"/>
      <c r="G98" s="223"/>
      <c r="H98" s="67" t="s">
        <v>433</v>
      </c>
      <c r="I98" s="67" t="s">
        <v>434</v>
      </c>
    </row>
    <row r="99" spans="1:9" ht="12.75">
      <c r="A99" s="43" t="s">
        <v>61</v>
      </c>
      <c r="B99" s="213" t="s">
        <v>412</v>
      </c>
      <c r="C99" s="213" t="s">
        <v>166</v>
      </c>
      <c r="D99" s="221" t="s">
        <v>267</v>
      </c>
      <c r="E99" s="222"/>
      <c r="F99" s="222"/>
      <c r="G99" s="223"/>
      <c r="H99" s="67" t="s">
        <v>140</v>
      </c>
      <c r="I99" s="67" t="s">
        <v>141</v>
      </c>
    </row>
    <row r="100" spans="1:9" ht="24.75" customHeight="1">
      <c r="A100" s="43" t="s">
        <v>62</v>
      </c>
      <c r="B100" s="213" t="s">
        <v>367</v>
      </c>
      <c r="C100" s="213" t="s">
        <v>167</v>
      </c>
      <c r="D100" s="221" t="s">
        <v>268</v>
      </c>
      <c r="E100" s="222"/>
      <c r="F100" s="222"/>
      <c r="G100" s="223"/>
      <c r="H100" s="67" t="s">
        <v>142</v>
      </c>
      <c r="I100" s="67" t="s">
        <v>143</v>
      </c>
    </row>
    <row r="101" spans="1:9" ht="27.75" customHeight="1">
      <c r="A101" s="43" t="s">
        <v>63</v>
      </c>
      <c r="B101" s="224" t="s">
        <v>368</v>
      </c>
      <c r="C101" s="224" t="s">
        <v>168</v>
      </c>
      <c r="D101" s="221" t="s">
        <v>269</v>
      </c>
      <c r="E101" s="222"/>
      <c r="F101" s="222"/>
      <c r="G101" s="223"/>
      <c r="H101" s="67" t="s">
        <v>144</v>
      </c>
      <c r="I101" s="67" t="s">
        <v>145</v>
      </c>
    </row>
    <row r="102" spans="1:9" ht="12.75">
      <c r="A102" s="43" t="s">
        <v>64</v>
      </c>
      <c r="B102" s="208" t="s">
        <v>258</v>
      </c>
      <c r="C102" s="209" t="s">
        <v>169</v>
      </c>
      <c r="D102" s="216" t="s">
        <v>270</v>
      </c>
      <c r="E102" s="217"/>
      <c r="F102" s="217"/>
      <c r="G102" s="218"/>
      <c r="H102" s="66">
        <v>100</v>
      </c>
      <c r="I102" s="69" t="s">
        <v>155</v>
      </c>
    </row>
    <row r="103" spans="1:9" ht="25.5" customHeight="1">
      <c r="A103" s="43" t="s">
        <v>65</v>
      </c>
      <c r="B103" s="213" t="s">
        <v>413</v>
      </c>
      <c r="C103" s="213" t="s">
        <v>170</v>
      </c>
      <c r="D103" s="221" t="s">
        <v>271</v>
      </c>
      <c r="E103" s="222"/>
      <c r="F103" s="222"/>
      <c r="G103" s="223"/>
      <c r="H103" s="67" t="s">
        <v>146</v>
      </c>
      <c r="I103" s="67" t="s">
        <v>147</v>
      </c>
    </row>
    <row r="104" spans="1:9" ht="12.75">
      <c r="A104" s="43" t="s">
        <v>171</v>
      </c>
      <c r="B104" s="226" t="s">
        <v>414</v>
      </c>
      <c r="C104" s="226"/>
      <c r="D104" s="210" t="s">
        <v>272</v>
      </c>
      <c r="E104" s="211"/>
      <c r="F104" s="211"/>
      <c r="G104" s="212"/>
      <c r="H104" s="68" t="s">
        <v>172</v>
      </c>
      <c r="I104" s="68" t="s">
        <v>173</v>
      </c>
    </row>
    <row r="105" spans="1:9" ht="12.75">
      <c r="A105" s="43" t="s">
        <v>66</v>
      </c>
      <c r="B105" s="231" t="s">
        <v>415</v>
      </c>
      <c r="C105" s="231" t="s">
        <v>174</v>
      </c>
      <c r="D105" s="227" t="s">
        <v>273</v>
      </c>
      <c r="E105" s="228"/>
      <c r="F105" s="228"/>
      <c r="G105" s="229"/>
      <c r="H105" s="70" t="s">
        <v>148</v>
      </c>
      <c r="I105" s="70" t="s">
        <v>149</v>
      </c>
    </row>
    <row r="106" spans="1:9" ht="12.75">
      <c r="A106" s="43" t="s">
        <v>305</v>
      </c>
      <c r="B106" s="231" t="s">
        <v>176</v>
      </c>
      <c r="C106" s="231" t="s">
        <v>175</v>
      </c>
      <c r="D106" s="227" t="s">
        <v>306</v>
      </c>
      <c r="E106" s="228"/>
      <c r="F106" s="228"/>
      <c r="G106" s="229"/>
      <c r="H106" s="70" t="s">
        <v>308</v>
      </c>
      <c r="I106" s="70" t="s">
        <v>307</v>
      </c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 s="230" t="s">
        <v>55</v>
      </c>
      <c r="C109" s="230"/>
      <c r="D109" s="166" t="s">
        <v>56</v>
      </c>
      <c r="E109" s="166"/>
      <c r="F109" s="166" t="s">
        <v>1</v>
      </c>
      <c r="G109" s="166"/>
      <c r="H109" s="19" t="s">
        <v>131</v>
      </c>
      <c r="I109" s="19" t="s">
        <v>132</v>
      </c>
    </row>
    <row r="110" spans="1:9" ht="12.75">
      <c r="A110"/>
      <c r="B110" s="230"/>
      <c r="C110" s="230"/>
      <c r="D110" s="160" t="s">
        <v>213</v>
      </c>
      <c r="E110" s="160"/>
      <c r="F110" s="160" t="s">
        <v>214</v>
      </c>
      <c r="G110" s="160"/>
      <c r="H110" s="249" t="s">
        <v>4</v>
      </c>
      <c r="I110" s="249"/>
    </row>
    <row r="111" spans="1:9" ht="12.75">
      <c r="A111"/>
      <c r="B111" s="225">
        <v>1</v>
      </c>
      <c r="C111" s="160"/>
      <c r="D111" s="243">
        <v>2</v>
      </c>
      <c r="E111" s="243"/>
      <c r="F111" s="243">
        <v>3</v>
      </c>
      <c r="G111" s="243"/>
      <c r="H111" s="64">
        <v>4</v>
      </c>
      <c r="I111" s="64">
        <v>5</v>
      </c>
    </row>
    <row r="112" spans="1:9" ht="12.75">
      <c r="A112" s="71" t="s">
        <v>369</v>
      </c>
      <c r="B112" s="214" t="s">
        <v>370</v>
      </c>
      <c r="C112" s="215"/>
      <c r="D112" s="216" t="s">
        <v>371</v>
      </c>
      <c r="E112" s="217"/>
      <c r="F112" s="217"/>
      <c r="G112" s="218"/>
      <c r="H112" s="66"/>
      <c r="I112" s="69"/>
    </row>
    <row r="113" spans="1:9" ht="12.75">
      <c r="A113" s="71" t="s">
        <v>372</v>
      </c>
      <c r="B113" s="219" t="s">
        <v>373</v>
      </c>
      <c r="C113" s="220"/>
      <c r="D113" s="221" t="s">
        <v>374</v>
      </c>
      <c r="E113" s="222"/>
      <c r="F113" s="222"/>
      <c r="G113" s="223"/>
      <c r="H113" s="67"/>
      <c r="I113" s="67"/>
    </row>
    <row r="114" spans="1:9" ht="12.75">
      <c r="A114" s="71" t="s">
        <v>375</v>
      </c>
      <c r="B114" s="241" t="s">
        <v>376</v>
      </c>
      <c r="C114" s="242"/>
      <c r="D114" s="210" t="s">
        <v>377</v>
      </c>
      <c r="E114" s="211"/>
      <c r="F114" s="211"/>
      <c r="G114" s="212"/>
      <c r="H114" s="68"/>
      <c r="I114" s="68"/>
    </row>
    <row r="115" spans="1:9" ht="12.75">
      <c r="A115" s="71" t="s">
        <v>378</v>
      </c>
      <c r="B115" s="241" t="s">
        <v>379</v>
      </c>
      <c r="C115" s="242"/>
      <c r="D115" s="210" t="s">
        <v>380</v>
      </c>
      <c r="E115" s="211"/>
      <c r="F115" s="211"/>
      <c r="G115" s="212"/>
      <c r="H115" s="68"/>
      <c r="I115" s="68"/>
    </row>
    <row r="116" spans="1:9" ht="12.75">
      <c r="A116" s="71" t="s">
        <v>381</v>
      </c>
      <c r="B116" s="219" t="s">
        <v>382</v>
      </c>
      <c r="C116" s="220"/>
      <c r="D116" s="221" t="s">
        <v>383</v>
      </c>
      <c r="E116" s="222"/>
      <c r="F116" s="222"/>
      <c r="G116" s="223"/>
      <c r="H116" s="67"/>
      <c r="I116" s="67"/>
    </row>
    <row r="117" spans="1:9" ht="12.75">
      <c r="A117" s="71" t="s">
        <v>384</v>
      </c>
      <c r="B117" s="241" t="s">
        <v>385</v>
      </c>
      <c r="C117" s="242"/>
      <c r="D117" s="210" t="s">
        <v>386</v>
      </c>
      <c r="E117" s="211"/>
      <c r="F117" s="211"/>
      <c r="G117" s="212"/>
      <c r="H117" s="68"/>
      <c r="I117" s="68"/>
    </row>
    <row r="119" spans="2:4" ht="12.75">
      <c r="B119" s="52" t="s">
        <v>259</v>
      </c>
      <c r="C119" s="52">
        <f>2</f>
        <v>2</v>
      </c>
      <c r="D119" s="52" t="str">
        <f>IF(C119="1","I Kwartał",IF(C119="2","II Kwartały",IF(C119="3","III Kwartały",IF(C119="4","IV Kwartały","-"))))</f>
        <v>-</v>
      </c>
    </row>
    <row r="120" spans="2:3" ht="12.75">
      <c r="B120" s="52" t="s">
        <v>260</v>
      </c>
      <c r="C120" s="52">
        <f>2021</f>
        <v>2021</v>
      </c>
    </row>
    <row r="121" spans="2:3" ht="12.75">
      <c r="B121" s="52" t="s">
        <v>261</v>
      </c>
      <c r="C121" s="53" t="str">
        <f>"Aug 18 2021 12:00AM"</f>
        <v>Aug 18 2021 12:00AM</v>
      </c>
    </row>
  </sheetData>
  <sheetProtection/>
  <mergeCells count="148">
    <mergeCell ref="C81:J81"/>
    <mergeCell ref="B116:C116"/>
    <mergeCell ref="D116:G116"/>
    <mergeCell ref="B117:C117"/>
    <mergeCell ref="D117:G117"/>
    <mergeCell ref="D98:G98"/>
    <mergeCell ref="F91:G91"/>
    <mergeCell ref="B90:C91"/>
    <mergeCell ref="F90:G90"/>
    <mergeCell ref="C87:J87"/>
    <mergeCell ref="C50:E50"/>
    <mergeCell ref="D111:E111"/>
    <mergeCell ref="F111:G111"/>
    <mergeCell ref="B114:C114"/>
    <mergeCell ref="D114:G114"/>
    <mergeCell ref="C64:J64"/>
    <mergeCell ref="H110:I110"/>
    <mergeCell ref="F92:G92"/>
    <mergeCell ref="D91:E91"/>
    <mergeCell ref="H91:I91"/>
    <mergeCell ref="C45:E45"/>
    <mergeCell ref="C46:E46"/>
    <mergeCell ref="C49:E49"/>
    <mergeCell ref="C54:E54"/>
    <mergeCell ref="B115:C115"/>
    <mergeCell ref="D115:G115"/>
    <mergeCell ref="D90:E90"/>
    <mergeCell ref="D92:E92"/>
    <mergeCell ref="C85:J85"/>
    <mergeCell ref="C86:J86"/>
    <mergeCell ref="B92:C92"/>
    <mergeCell ref="B89:M89"/>
    <mergeCell ref="C77:J77"/>
    <mergeCell ref="I70:J70"/>
    <mergeCell ref="C37:E37"/>
    <mergeCell ref="C38:E38"/>
    <mergeCell ref="K67:K69"/>
    <mergeCell ref="C53:E53"/>
    <mergeCell ref="C79:J79"/>
    <mergeCell ref="C80:J80"/>
    <mergeCell ref="C82:J82"/>
    <mergeCell ref="C30:E30"/>
    <mergeCell ref="C78:J78"/>
    <mergeCell ref="C74:J74"/>
    <mergeCell ref="C75:J75"/>
    <mergeCell ref="C39:E39"/>
    <mergeCell ref="I67:J69"/>
    <mergeCell ref="D67:D69"/>
    <mergeCell ref="G68:H68"/>
    <mergeCell ref="F67:H67"/>
    <mergeCell ref="C55:E55"/>
    <mergeCell ref="B1:M1"/>
    <mergeCell ref="B3:B4"/>
    <mergeCell ref="C13:J13"/>
    <mergeCell ref="C14:J14"/>
    <mergeCell ref="C9:J9"/>
    <mergeCell ref="C18:J18"/>
    <mergeCell ref="K4:M4"/>
    <mergeCell ref="C7:J7"/>
    <mergeCell ref="C6:J6"/>
    <mergeCell ref="C8:J8"/>
    <mergeCell ref="C19:J19"/>
    <mergeCell ref="C57:E57"/>
    <mergeCell ref="C35:E35"/>
    <mergeCell ref="C36:E36"/>
    <mergeCell ref="C40:E40"/>
    <mergeCell ref="C29:E29"/>
    <mergeCell ref="C24:E24"/>
    <mergeCell ref="C47:E47"/>
    <mergeCell ref="C48:E48"/>
    <mergeCell ref="C33:E33"/>
    <mergeCell ref="D93:G93"/>
    <mergeCell ref="D106:G106"/>
    <mergeCell ref="B105:C105"/>
    <mergeCell ref="B106:C106"/>
    <mergeCell ref="B102:C102"/>
    <mergeCell ref="D103:G103"/>
    <mergeCell ref="B95:C95"/>
    <mergeCell ref="D94:G94"/>
    <mergeCell ref="D99:G99"/>
    <mergeCell ref="B103:C103"/>
    <mergeCell ref="B111:C111"/>
    <mergeCell ref="D109:E109"/>
    <mergeCell ref="F109:G109"/>
    <mergeCell ref="B104:C104"/>
    <mergeCell ref="D105:G105"/>
    <mergeCell ref="B109:C110"/>
    <mergeCell ref="D104:G104"/>
    <mergeCell ref="B96:C96"/>
    <mergeCell ref="B99:C99"/>
    <mergeCell ref="D96:G96"/>
    <mergeCell ref="D97:G97"/>
    <mergeCell ref="D110:E110"/>
    <mergeCell ref="F110:G110"/>
    <mergeCell ref="D102:G102"/>
    <mergeCell ref="B97:C97"/>
    <mergeCell ref="D101:G101"/>
    <mergeCell ref="B98:C98"/>
    <mergeCell ref="B93:C93"/>
    <mergeCell ref="D95:G95"/>
    <mergeCell ref="B94:C94"/>
    <mergeCell ref="B112:C112"/>
    <mergeCell ref="D112:G112"/>
    <mergeCell ref="B113:C113"/>
    <mergeCell ref="D113:G113"/>
    <mergeCell ref="B101:C101"/>
    <mergeCell ref="D100:G100"/>
    <mergeCell ref="B100:C100"/>
    <mergeCell ref="C27:E27"/>
    <mergeCell ref="C28:E28"/>
    <mergeCell ref="L67:L69"/>
    <mergeCell ref="C34:E34"/>
    <mergeCell ref="C20:J20"/>
    <mergeCell ref="C52:E52"/>
    <mergeCell ref="B65:M65"/>
    <mergeCell ref="C23:J23"/>
    <mergeCell ref="E67:E69"/>
    <mergeCell ref="F68:F69"/>
    <mergeCell ref="K70:L70"/>
    <mergeCell ref="C59:E59"/>
    <mergeCell ref="C56:E56"/>
    <mergeCell ref="C31:E31"/>
    <mergeCell ref="C51:E51"/>
    <mergeCell ref="C60:E60"/>
    <mergeCell ref="C58:E58"/>
    <mergeCell ref="C41:E41"/>
    <mergeCell ref="C62:J62"/>
    <mergeCell ref="C63:J63"/>
    <mergeCell ref="C22:J22"/>
    <mergeCell ref="C15:J15"/>
    <mergeCell ref="B67:B70"/>
    <mergeCell ref="C67:C69"/>
    <mergeCell ref="C76:J76"/>
    <mergeCell ref="I71:J71"/>
    <mergeCell ref="C42:E42"/>
    <mergeCell ref="C43:E43"/>
    <mergeCell ref="C44:E44"/>
    <mergeCell ref="C21:J21"/>
    <mergeCell ref="C16:J16"/>
    <mergeCell ref="C17:J17"/>
    <mergeCell ref="C73:J73"/>
    <mergeCell ref="C72:J72"/>
    <mergeCell ref="C11:J11"/>
    <mergeCell ref="C10:J10"/>
    <mergeCell ref="C12:J12"/>
    <mergeCell ref="C26:E26"/>
    <mergeCell ref="C32:E32"/>
    <mergeCell ref="C25:E25"/>
  </mergeCells>
  <printOptions/>
  <pageMargins left="0.18" right="0.18" top="0.5511811023622047" bottom="0.3937007874015748" header="0.31496062992125984" footer="0.1968503937007874"/>
  <pageSetup horizontalDpi="600" verticalDpi="600" orientation="landscape" paperSize="9" scale="66" r:id="rId1"/>
  <headerFooter alignWithMargins="0">
    <oddFooter>&amp;L&amp;"Arial CE,Kursywa"&amp;9&amp;D&amp;R&amp;9strona &amp;P z 5</oddFooter>
  </headerFooter>
  <rowBreaks count="3" manualBreakCount="3">
    <brk id="23" max="255" man="1"/>
    <brk id="64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2018-03-19T09:19:34Z</cp:lastPrinted>
  <dcterms:created xsi:type="dcterms:W3CDTF">2001-05-17T08:58:03Z</dcterms:created>
  <dcterms:modified xsi:type="dcterms:W3CDTF">2021-08-18T11:24:05Z</dcterms:modified>
  <cp:category/>
  <cp:version/>
  <cp:contentType/>
  <cp:contentStatus/>
</cp:coreProperties>
</file>