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HCY\Documents\```ST7\Besti@\2023\IV kwartał\2024.03.15 ostateczne\BIP MF\Zbiorówki\"/>
    </mc:Choice>
  </mc:AlternateContent>
  <xr:revisionPtr revIDLastSave="0" documentId="13_ncr:1_{D5A4900B-2188-41BB-8E88-F9925FBDF3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ob_nal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3" i="7" l="1"/>
  <c r="B92" i="7"/>
  <c r="B91" i="7"/>
  <c r="B90" i="7"/>
  <c r="I87" i="7"/>
  <c r="G87" i="7"/>
  <c r="I86" i="7"/>
  <c r="G86" i="7"/>
  <c r="I85" i="7"/>
  <c r="G85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L76" i="7"/>
  <c r="K76" i="7"/>
  <c r="J76" i="7"/>
  <c r="I76" i="7"/>
  <c r="H76" i="7"/>
  <c r="G76" i="7"/>
  <c r="F76" i="7"/>
  <c r="L75" i="7"/>
  <c r="K75" i="7"/>
  <c r="J75" i="7"/>
  <c r="I75" i="7"/>
  <c r="H75" i="7"/>
  <c r="G75" i="7"/>
  <c r="F75" i="7"/>
  <c r="L74" i="7"/>
  <c r="K74" i="7"/>
  <c r="J74" i="7"/>
  <c r="I74" i="7"/>
  <c r="H74" i="7"/>
  <c r="G74" i="7"/>
  <c r="F74" i="7"/>
  <c r="L73" i="7"/>
  <c r="K73" i="7"/>
  <c r="J73" i="7"/>
  <c r="I73" i="7"/>
  <c r="H73" i="7"/>
  <c r="G73" i="7"/>
  <c r="F73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0" i="7" l="1"/>
  <c r="A63" i="7" l="1"/>
  <c r="A82" i="7"/>
  <c r="A27" i="7"/>
  <c r="A1" i="7"/>
</calcChain>
</file>

<file path=xl/sharedStrings.xml><?xml version="1.0" encoding="utf-8"?>
<sst xmlns="http://schemas.openxmlformats.org/spreadsheetml/2006/main" count="97" uniqueCount="81">
  <si>
    <t>Wyszczególnienie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</si>
  <si>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</si>
  <si>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</si>
  <si>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</si>
  <si>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</si>
  <si>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</si>
  <si>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</si>
  <si>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</si>
  <si>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</si>
  <si>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</si>
  <si>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</si>
  <si>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</si>
  <si>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</si>
  <si>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</si>
  <si>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</si>
  <si>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</si>
  <si>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</si>
  <si>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</si>
  <si>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</si>
  <si>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</si>
  <si>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</si>
  <si>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</si>
  <si>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</si>
  <si>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</si>
  <si>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</si>
  <si>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</si>
  <si>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</si>
  <si>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</si>
  <si>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</si>
  <si>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</si>
  <si>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</si>
  <si>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</si>
  <si>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</si>
  <si>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</si>
  <si>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</si>
  <si>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</si>
  <si>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</si>
  <si>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</si>
  <si>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</si>
  <si>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</si>
  <si>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</si>
  <si>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</si>
  <si>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</si>
  <si>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</si>
  <si>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</si>
  <si>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  ZOBOWIĄZANIA WG TYTUŁÓW 
    DŁUŻNYCH (E1+E2+E3+E4)</t>
  </si>
  <si>
    <t>E1.1 krótkotermionowe</t>
  </si>
  <si>
    <t>E1.2 długoterminowe</t>
  </si>
  <si>
    <t>E2.1 krótkotermionowe</t>
  </si>
  <si>
    <t>E2.2 długoterminowe</t>
  </si>
  <si>
    <t>E3 przyjęte depozyty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</si>
  <si>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</si>
  <si>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</si>
  <si>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</si>
  <si>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</si>
  <si>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</si>
  <si>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</si>
  <si>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</si>
  <si>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</si>
  <si>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</si>
  <si>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</si>
  <si>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</si>
  <si>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</si>
  <si>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</si>
  <si>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</si>
  <si>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</si>
  <si>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</si>
  <si>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</si>
  <si>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</si>
  <si>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</si>
  <si>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</si>
  <si>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</si>
  <si>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</si>
  <si>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sektora finansów publicznych (kol.5+6+7+8)</t>
  </si>
  <si>
    <t>wierzyciele i dłużnicy</t>
  </si>
  <si>
    <t>tytul</t>
  </si>
  <si>
    <t>w złotych</t>
  </si>
  <si>
    <t>E1 papiery wartościowe  (E1.1+E1.2)</t>
  </si>
  <si>
    <t>E2 kredyty i pożyczki (E2.1+E2.2)</t>
  </si>
  <si>
    <t>E4  wymagalne zobowiązania (E4.1+E4.2)</t>
  </si>
  <si>
    <t>N5.2 z tytułu podatków i składek na ubezpieczenia społ.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</si>
</sst>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33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b/>
      <sz val="8"/>
      <name val="Arial CE"/>
      <charset val="238"/>
    </font>
    <font>
      <sz val="8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7" fillId="0" borderId="0" xfId="37" applyFont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4" fillId="0" borderId="10" xfId="37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" fillId="0" borderId="10" xfId="37" applyFont="1" applyBorder="1" applyAlignment="1">
      <alignment horizontal="left" vertical="center" wrapText="1"/>
    </xf>
    <xf numFmtId="0" fontId="31" fillId="0" borderId="17" xfId="0" applyFont="1" applyFill="1" applyBorder="1" applyAlignment="1">
      <alignment vertical="center" wrapText="1"/>
    </xf>
    <xf numFmtId="0" fontId="2" fillId="20" borderId="10" xfId="37" applyFont="1" applyFill="1" applyBorder="1" applyAlignment="1">
      <alignment horizontal="left" vertical="center" wrapText="1"/>
    </xf>
    <xf numFmtId="0" fontId="8" fillId="20" borderId="10" xfId="37" applyFont="1" applyFill="1" applyBorder="1" applyAlignment="1">
      <alignment horizontal="left" vertical="center" wrapText="1"/>
    </xf>
    <xf numFmtId="4" fontId="7" fillId="20" borderId="10" xfId="37" applyNumberFormat="1" applyFont="1" applyFill="1" applyBorder="1" applyAlignment="1">
      <alignment horizontal="right" vertical="center" wrapText="1"/>
    </xf>
    <xf numFmtId="4" fontId="7" fillId="0" borderId="10" xfId="37" applyNumberFormat="1" applyFont="1" applyBorder="1" applyAlignment="1">
      <alignment horizontal="right" vertical="center" wrapText="1"/>
    </xf>
    <xf numFmtId="4" fontId="7" fillId="20" borderId="10" xfId="37" applyNumberFormat="1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vertical="center" wrapText="1"/>
    </xf>
    <xf numFmtId="0" fontId="30" fillId="21" borderId="17" xfId="0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horizontal="right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7" fillId="19" borderId="14" xfId="37" applyFont="1" applyFill="1" applyBorder="1" applyAlignment="1">
      <alignment horizontal="center" vertical="center" wrapText="1"/>
    </xf>
    <xf numFmtId="0" fontId="7" fillId="19" borderId="11" xfId="37" applyFont="1" applyFill="1" applyBorder="1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19" borderId="10" xfId="37" applyNumberFormat="1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28" fillId="19" borderId="19" xfId="37" applyFont="1" applyFill="1" applyBorder="1" applyAlignment="1">
      <alignment horizontal="center" vertical="center" wrapText="1"/>
    </xf>
    <xf numFmtId="0" fontId="28" fillId="19" borderId="20" xfId="37" applyFont="1" applyFill="1" applyBorder="1" applyAlignment="1">
      <alignment horizontal="center" vertical="center" wrapText="1"/>
    </xf>
    <xf numFmtId="0" fontId="28" fillId="19" borderId="12" xfId="37" applyFont="1" applyFill="1" applyBorder="1" applyAlignment="1">
      <alignment horizontal="center" vertical="center" wrapText="1"/>
    </xf>
    <xf numFmtId="0" fontId="7" fillId="19" borderId="20" xfId="37" applyFont="1" applyFill="1" applyBorder="1" applyAlignment="1">
      <alignment horizontal="center" vertical="center" wrapText="1"/>
    </xf>
    <xf numFmtId="0" fontId="7" fillId="19" borderId="12" xfId="37" applyFont="1" applyFill="1" applyBorder="1" applyAlignment="1">
      <alignment horizontal="center" vertical="center" wrapText="1"/>
    </xf>
    <xf numFmtId="0" fontId="7" fillId="19" borderId="19" xfId="37" applyFont="1" applyFill="1" applyBorder="1" applyAlignment="1">
      <alignment horizontal="center" vertical="center" wrapText="1"/>
    </xf>
    <xf numFmtId="0" fontId="28" fillId="19" borderId="15" xfId="37" applyFont="1" applyFill="1" applyBorder="1" applyAlignment="1">
      <alignment horizontal="center" vertical="center" wrapText="1"/>
    </xf>
    <xf numFmtId="0" fontId="28" fillId="19" borderId="14" xfId="37" applyFont="1" applyFill="1" applyBorder="1" applyAlignment="1">
      <alignment horizontal="center" vertical="center" wrapText="1"/>
    </xf>
    <xf numFmtId="0" fontId="28" fillId="19" borderId="11" xfId="37" applyFont="1" applyFill="1" applyBorder="1" applyAlignment="1">
      <alignment horizontal="center" vertical="center" wrapText="1"/>
    </xf>
    <xf numFmtId="0" fontId="32" fillId="0" borderId="0" xfId="37" applyFont="1" applyAlignment="1">
      <alignment horizontal="center" vertical="center" wrapText="1"/>
    </xf>
    <xf numFmtId="0" fontId="6" fillId="0" borderId="0" xfId="37" applyFont="1" applyAlignment="1">
      <alignment horizontal="left" vertical="center" wrapText="1"/>
    </xf>
    <xf numFmtId="0" fontId="7" fillId="19" borderId="21" xfId="37" applyFont="1" applyFill="1" applyBorder="1" applyAlignment="1">
      <alignment horizontal="center" vertical="center" wrapText="1"/>
    </xf>
    <xf numFmtId="0" fontId="7" fillId="19" borderId="13" xfId="37" applyFont="1" applyFill="1" applyBorder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7" fillId="19" borderId="15" xfId="37" applyFont="1" applyFill="1" applyBorder="1" applyAlignment="1">
      <alignment horizontal="center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0" fontId="5" fillId="19" borderId="22" xfId="37" applyFont="1" applyFill="1" applyBorder="1" applyAlignment="1">
      <alignment horizontal="center" vertical="center" wrapText="1"/>
    </xf>
    <xf numFmtId="0" fontId="5" fillId="19" borderId="21" xfId="37" applyFont="1" applyFill="1" applyBorder="1" applyAlignment="1">
      <alignment horizontal="center" vertical="center" wrapText="1"/>
    </xf>
    <xf numFmtId="0" fontId="5" fillId="19" borderId="13" xfId="37" applyFont="1" applyFill="1" applyBorder="1" applyAlignment="1">
      <alignment horizontal="center" vertical="center" wrapText="1"/>
    </xf>
    <xf numFmtId="0" fontId="29" fillId="19" borderId="10" xfId="37" applyFont="1" applyFill="1" applyBorder="1" applyAlignment="1">
      <alignment horizontal="center" vertical="center" wrapText="1"/>
    </xf>
    <xf numFmtId="0" fontId="5" fillId="19" borderId="14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3" fontId="7" fillId="0" borderId="15" xfId="37" applyNumberFormat="1" applyFont="1" applyBorder="1" applyAlignment="1">
      <alignment horizontal="right" vertical="center" wrapText="1"/>
    </xf>
    <xf numFmtId="3" fontId="7" fillId="0" borderId="11" xfId="37" applyNumberFormat="1" applyFont="1" applyBorder="1" applyAlignment="1">
      <alignment horizontal="right" vertical="center" wrapText="1"/>
    </xf>
    <xf numFmtId="4" fontId="7" fillId="0" borderId="15" xfId="37" applyNumberFormat="1" applyFont="1" applyBorder="1" applyAlignment="1">
      <alignment horizontal="right" vertical="center" wrapText="1"/>
    </xf>
    <xf numFmtId="4" fontId="7" fillId="0" borderId="11" xfId="37" applyNumberFormat="1" applyFont="1" applyBorder="1" applyAlignment="1">
      <alignment horizontal="right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0" fontId="2" fillId="20" borderId="15" xfId="37" applyFont="1" applyFill="1" applyBorder="1" applyAlignment="1">
      <alignment horizontal="left" vertical="center" wrapText="1"/>
    </xf>
    <xf numFmtId="0" fontId="2" fillId="20" borderId="14" xfId="37" applyFont="1" applyFill="1" applyBorder="1" applyAlignment="1">
      <alignment horizontal="left" vertical="center" wrapText="1"/>
    </xf>
    <xf numFmtId="0" fontId="2" fillId="20" borderId="11" xfId="37" applyFont="1" applyFill="1" applyBorder="1" applyAlignment="1">
      <alignment horizontal="left" vertical="center" wrapText="1"/>
    </xf>
    <xf numFmtId="3" fontId="7" fillId="20" borderId="15" xfId="37" applyNumberFormat="1" applyFont="1" applyFill="1" applyBorder="1" applyAlignment="1">
      <alignment horizontal="right" vertical="center" wrapText="1"/>
    </xf>
    <xf numFmtId="3" fontId="7" fillId="20" borderId="11" xfId="37" applyNumberFormat="1" applyFont="1" applyFill="1" applyBorder="1" applyAlignment="1">
      <alignment horizontal="right" vertical="center" wrapText="1"/>
    </xf>
    <xf numFmtId="4" fontId="7" fillId="20" borderId="15" xfId="37" applyNumberFormat="1" applyFont="1" applyFill="1" applyBorder="1" applyAlignment="1">
      <alignment horizontal="right" vertical="center" wrapText="1"/>
    </xf>
    <xf numFmtId="4" fontId="7" fillId="20" borderId="11" xfId="37" applyNumberFormat="1" applyFont="1" applyFill="1" applyBorder="1" applyAlignment="1">
      <alignment horizontal="right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18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0" fontId="29" fillId="19" borderId="10" xfId="37" applyNumberFormat="1" applyFont="1" applyFill="1" applyBorder="1" applyAlignment="1">
      <alignment horizontal="center" vertical="center" wrapText="1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ny" xfId="0" builtinId="0"/>
    <cellStyle name="Normalny_Zeszyt1" xfId="37" xr:uid="{00000000-0005-0000-0000-000025000000}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Warning Text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Q93"/>
  <sheetViews>
    <sheetView tabSelected="1" zoomScaleNormal="100" zoomScaleSheetLayoutView="75" workbookViewId="0">
      <selection activeCell="M2" sqref="M2"/>
    </sheetView>
  </sheetViews>
  <sheetFormatPr defaultRowHeight="13.5" customHeight="1" x14ac:dyDescent="0.2"/>
  <cols>
    <col min="1" max="1" width="22.5703125" style="2" customWidth="1"/>
    <col min="2" max="3" width="13.7109375" style="2" customWidth="1"/>
    <col min="4" max="6" width="11.42578125" style="2" customWidth="1"/>
    <col min="7" max="7" width="12.140625" style="2" customWidth="1"/>
    <col min="8" max="8" width="12" style="2" customWidth="1"/>
    <col min="9" max="9" width="12.5703125" style="2" customWidth="1"/>
    <col min="10" max="10" width="12.85546875" style="2" customWidth="1"/>
    <col min="11" max="11" width="12.140625" style="2" customWidth="1"/>
    <col min="12" max="12" width="11.42578125" style="2" customWidth="1"/>
    <col min="13" max="13" width="10" style="2" customWidth="1"/>
    <col min="14" max="14" width="10.28515625" style="2" customWidth="1"/>
    <col min="15" max="15" width="9.140625" style="2"/>
    <col min="16" max="16" width="10.28515625" style="2" customWidth="1"/>
    <col min="17" max="16384" width="9.140625" style="2"/>
  </cols>
  <sheetData>
    <row r="1" spans="1:17" ht="39.75" customHeight="1" x14ac:dyDescent="0.2">
      <c r="A1" s="47" t="str">
        <f>CONCATENATE("Informacja z wykonania budżetów powiatów za   ",$C$90," ",$B$91," roku    ",$B$93,"")</f>
        <v xml:space="preserve">Informacja z wykonania budżetów powiatów za   IV Kwartały 2023 roku    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48" t="s">
        <v>60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5" spans="1:17" ht="13.5" customHeight="1" x14ac:dyDescent="0.2">
      <c r="B5" s="12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11"/>
      <c r="O5" s="11"/>
      <c r="P5" s="11"/>
      <c r="Q5" s="11"/>
    </row>
    <row r="6" spans="1:17" ht="13.5" customHeight="1" x14ac:dyDescent="0.2">
      <c r="A6" s="38" t="s">
        <v>0</v>
      </c>
      <c r="B6" s="43" t="s">
        <v>61</v>
      </c>
      <c r="C6" s="52" t="s">
        <v>65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  <c r="O6" s="52" t="s">
        <v>64</v>
      </c>
      <c r="P6" s="30"/>
      <c r="Q6" s="31"/>
    </row>
    <row r="7" spans="1:17" ht="13.5" customHeight="1" x14ac:dyDescent="0.2">
      <c r="A7" s="39"/>
      <c r="B7" s="41"/>
      <c r="C7" s="42" t="s">
        <v>62</v>
      </c>
      <c r="D7" s="42" t="s">
        <v>73</v>
      </c>
      <c r="E7" s="42" t="s">
        <v>66</v>
      </c>
      <c r="F7" s="42" t="s">
        <v>67</v>
      </c>
      <c r="G7" s="42" t="s">
        <v>27</v>
      </c>
      <c r="H7" s="42" t="s">
        <v>28</v>
      </c>
      <c r="I7" s="49" t="s">
        <v>63</v>
      </c>
      <c r="J7" s="42" t="s">
        <v>16</v>
      </c>
      <c r="K7" s="42" t="s">
        <v>17</v>
      </c>
      <c r="L7" s="42" t="s">
        <v>18</v>
      </c>
      <c r="M7" s="42" t="s">
        <v>19</v>
      </c>
      <c r="N7" s="41" t="s">
        <v>20</v>
      </c>
      <c r="O7" s="37" t="s">
        <v>21</v>
      </c>
      <c r="P7" s="37" t="s">
        <v>22</v>
      </c>
      <c r="Q7" s="37" t="s">
        <v>23</v>
      </c>
    </row>
    <row r="8" spans="1:17" ht="13.5" customHeight="1" x14ac:dyDescent="0.2">
      <c r="A8" s="39"/>
      <c r="B8" s="41"/>
      <c r="C8" s="37"/>
      <c r="D8" s="37"/>
      <c r="E8" s="37"/>
      <c r="F8" s="37"/>
      <c r="G8" s="37"/>
      <c r="H8" s="37"/>
      <c r="I8" s="49"/>
      <c r="J8" s="37"/>
      <c r="K8" s="37"/>
      <c r="L8" s="37"/>
      <c r="M8" s="37"/>
      <c r="N8" s="41"/>
      <c r="O8" s="37"/>
      <c r="P8" s="37"/>
      <c r="Q8" s="37"/>
    </row>
    <row r="9" spans="1:17" ht="11.25" customHeight="1" x14ac:dyDescent="0.2">
      <c r="A9" s="39"/>
      <c r="B9" s="41"/>
      <c r="C9" s="37"/>
      <c r="D9" s="37"/>
      <c r="E9" s="37"/>
      <c r="F9" s="37"/>
      <c r="G9" s="37"/>
      <c r="H9" s="37"/>
      <c r="I9" s="49"/>
      <c r="J9" s="37"/>
      <c r="K9" s="37"/>
      <c r="L9" s="37"/>
      <c r="M9" s="37"/>
      <c r="N9" s="41"/>
      <c r="O9" s="37"/>
      <c r="P9" s="37"/>
      <c r="Q9" s="37"/>
    </row>
    <row r="10" spans="1:17" ht="33.75" customHeight="1" x14ac:dyDescent="0.2">
      <c r="A10" s="40"/>
      <c r="B10" s="42"/>
      <c r="C10" s="37"/>
      <c r="D10" s="37"/>
      <c r="E10" s="37"/>
      <c r="F10" s="37"/>
      <c r="G10" s="37"/>
      <c r="H10" s="37"/>
      <c r="I10" s="50"/>
      <c r="J10" s="37"/>
      <c r="K10" s="37"/>
      <c r="L10" s="37"/>
      <c r="M10" s="37"/>
      <c r="N10" s="42"/>
      <c r="O10" s="37"/>
      <c r="P10" s="37"/>
      <c r="Q10" s="37"/>
    </row>
    <row r="11" spans="1:17" ht="15.75" customHeight="1" x14ac:dyDescent="0.2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  <c r="Q11" s="13">
        <v>17</v>
      </c>
    </row>
    <row r="12" spans="1:17" ht="12" customHeight="1" x14ac:dyDescent="0.2">
      <c r="A12" s="13"/>
      <c r="B12" s="27" t="s">
        <v>76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/>
    </row>
    <row r="13" spans="1:17" ht="39.75" customHeight="1" x14ac:dyDescent="0.2">
      <c r="A13" s="20" t="s">
        <v>45</v>
      </c>
      <c r="B13" s="21">
        <f>6947009143.73</f>
        <v>6947009143.7299995</v>
      </c>
      <c r="C13" s="21">
        <f>6947009143.73</f>
        <v>6947009143.7299995</v>
      </c>
      <c r="D13" s="21">
        <f>251196196.28</f>
        <v>251196196.28</v>
      </c>
      <c r="E13" s="21">
        <f>207034491.83</f>
        <v>207034491.83000001</v>
      </c>
      <c r="F13" s="21">
        <f>8567538.43</f>
        <v>8567538.4299999997</v>
      </c>
      <c r="G13" s="21">
        <f>35594166.02</f>
        <v>35594166.020000003</v>
      </c>
      <c r="H13" s="21">
        <f>0</f>
        <v>0</v>
      </c>
      <c r="I13" s="21">
        <f>0</f>
        <v>0</v>
      </c>
      <c r="J13" s="21">
        <f>6329648277.77</f>
        <v>6329648277.7700005</v>
      </c>
      <c r="K13" s="21">
        <f>359499391.58</f>
        <v>359499391.57999998</v>
      </c>
      <c r="L13" s="21">
        <f>3644248.92</f>
        <v>3644248.92</v>
      </c>
      <c r="M13" s="21">
        <f>168175.5</f>
        <v>168175.5</v>
      </c>
      <c r="N13" s="21">
        <f>2852853.68</f>
        <v>2852853.68</v>
      </c>
      <c r="O13" s="21">
        <f>0</f>
        <v>0</v>
      </c>
      <c r="P13" s="21">
        <f>0</f>
        <v>0</v>
      </c>
      <c r="Q13" s="21">
        <f>0</f>
        <v>0</v>
      </c>
    </row>
    <row r="14" spans="1:17" ht="24.75" customHeight="1" x14ac:dyDescent="0.2">
      <c r="A14" s="19" t="s">
        <v>77</v>
      </c>
      <c r="B14" s="21">
        <f>96145000</f>
        <v>96145000</v>
      </c>
      <c r="C14" s="21">
        <f>96145000</f>
        <v>96145000</v>
      </c>
      <c r="D14" s="21">
        <f>0</f>
        <v>0</v>
      </c>
      <c r="E14" s="21">
        <f>0</f>
        <v>0</v>
      </c>
      <c r="F14" s="21">
        <f>0</f>
        <v>0</v>
      </c>
      <c r="G14" s="21">
        <f>0</f>
        <v>0</v>
      </c>
      <c r="H14" s="21">
        <f>0</f>
        <v>0</v>
      </c>
      <c r="I14" s="21">
        <f>0</f>
        <v>0</v>
      </c>
      <c r="J14" s="21">
        <f>96145000</f>
        <v>96145000</v>
      </c>
      <c r="K14" s="21">
        <f>0</f>
        <v>0</v>
      </c>
      <c r="L14" s="21">
        <f>0</f>
        <v>0</v>
      </c>
      <c r="M14" s="21">
        <f>0</f>
        <v>0</v>
      </c>
      <c r="N14" s="21">
        <f>0</f>
        <v>0</v>
      </c>
      <c r="O14" s="21">
        <f>0</f>
        <v>0</v>
      </c>
      <c r="P14" s="21">
        <f>0</f>
        <v>0</v>
      </c>
      <c r="Q14" s="21">
        <f>0</f>
        <v>0</v>
      </c>
    </row>
    <row r="15" spans="1:17" ht="21" customHeight="1" x14ac:dyDescent="0.2">
      <c r="A15" s="17" t="s">
        <v>46</v>
      </c>
      <c r="B15" s="22">
        <f>0</f>
        <v>0</v>
      </c>
      <c r="C15" s="22">
        <f>0</f>
        <v>0</v>
      </c>
      <c r="D15" s="22">
        <f>0</f>
        <v>0</v>
      </c>
      <c r="E15" s="22">
        <f>0</f>
        <v>0</v>
      </c>
      <c r="F15" s="22">
        <f>0</f>
        <v>0</v>
      </c>
      <c r="G15" s="22">
        <f>0</f>
        <v>0</v>
      </c>
      <c r="H15" s="22">
        <f>0</f>
        <v>0</v>
      </c>
      <c r="I15" s="22">
        <f>0</f>
        <v>0</v>
      </c>
      <c r="J15" s="22">
        <f>0</f>
        <v>0</v>
      </c>
      <c r="K15" s="22">
        <f>0</f>
        <v>0</v>
      </c>
      <c r="L15" s="22">
        <f>0</f>
        <v>0</v>
      </c>
      <c r="M15" s="22">
        <f>0</f>
        <v>0</v>
      </c>
      <c r="N15" s="22">
        <f>0</f>
        <v>0</v>
      </c>
      <c r="O15" s="22">
        <f>0</f>
        <v>0</v>
      </c>
      <c r="P15" s="22">
        <f>0</f>
        <v>0</v>
      </c>
      <c r="Q15" s="22">
        <f>0</f>
        <v>0</v>
      </c>
    </row>
    <row r="16" spans="1:17" ht="20.25" customHeight="1" x14ac:dyDescent="0.2">
      <c r="A16" s="17" t="s">
        <v>47</v>
      </c>
      <c r="B16" s="22">
        <f>96145000</f>
        <v>96145000</v>
      </c>
      <c r="C16" s="22">
        <f>96145000</f>
        <v>96145000</v>
      </c>
      <c r="D16" s="22">
        <f>0</f>
        <v>0</v>
      </c>
      <c r="E16" s="22">
        <f>0</f>
        <v>0</v>
      </c>
      <c r="F16" s="22">
        <f>0</f>
        <v>0</v>
      </c>
      <c r="G16" s="22">
        <f>0</f>
        <v>0</v>
      </c>
      <c r="H16" s="22">
        <f>0</f>
        <v>0</v>
      </c>
      <c r="I16" s="22">
        <f>0</f>
        <v>0</v>
      </c>
      <c r="J16" s="22">
        <f>96145000</f>
        <v>96145000</v>
      </c>
      <c r="K16" s="22">
        <f>0</f>
        <v>0</v>
      </c>
      <c r="L16" s="22">
        <f>0</f>
        <v>0</v>
      </c>
      <c r="M16" s="22">
        <f>0</f>
        <v>0</v>
      </c>
      <c r="N16" s="22">
        <f>0</f>
        <v>0</v>
      </c>
      <c r="O16" s="22">
        <f>0</f>
        <v>0</v>
      </c>
      <c r="P16" s="22">
        <f>0</f>
        <v>0</v>
      </c>
      <c r="Q16" s="22">
        <f>0</f>
        <v>0</v>
      </c>
    </row>
    <row r="17" spans="1:17" ht="24" customHeight="1" x14ac:dyDescent="0.2">
      <c r="A17" s="20" t="s">
        <v>78</v>
      </c>
      <c r="B17" s="21">
        <f>6842271738.35</f>
        <v>6842271738.3500004</v>
      </c>
      <c r="C17" s="21">
        <f>6842271738.35</f>
        <v>6842271738.3500004</v>
      </c>
      <c r="D17" s="21">
        <f>243087069.37</f>
        <v>243087069.37</v>
      </c>
      <c r="E17" s="21">
        <f>200020070.31</f>
        <v>200020070.31</v>
      </c>
      <c r="F17" s="21">
        <f>8567538.43</f>
        <v>8567538.4299999997</v>
      </c>
      <c r="G17" s="21">
        <f>34499460.63</f>
        <v>34499460.630000003</v>
      </c>
      <c r="H17" s="21">
        <f>0</f>
        <v>0</v>
      </c>
      <c r="I17" s="21">
        <f>0</f>
        <v>0</v>
      </c>
      <c r="J17" s="21">
        <f>6233503277.77</f>
        <v>6233503277.7700005</v>
      </c>
      <c r="K17" s="21">
        <f>359499391.58</f>
        <v>359499391.57999998</v>
      </c>
      <c r="L17" s="21">
        <f>3384164.23</f>
        <v>3384164.23</v>
      </c>
      <c r="M17" s="21">
        <f>0</f>
        <v>0</v>
      </c>
      <c r="N17" s="21">
        <f>2797835.4</f>
        <v>2797835.4</v>
      </c>
      <c r="O17" s="21">
        <f>0</f>
        <v>0</v>
      </c>
      <c r="P17" s="21">
        <f>0</f>
        <v>0</v>
      </c>
      <c r="Q17" s="21">
        <f>0</f>
        <v>0</v>
      </c>
    </row>
    <row r="18" spans="1:17" ht="23.25" customHeight="1" x14ac:dyDescent="0.2">
      <c r="A18" s="17" t="s">
        <v>48</v>
      </c>
      <c r="B18" s="22">
        <f>3755608.88</f>
        <v>3755608.88</v>
      </c>
      <c r="C18" s="22">
        <f>3755608.88</f>
        <v>3755608.88</v>
      </c>
      <c r="D18" s="22">
        <f>221184</f>
        <v>221184</v>
      </c>
      <c r="E18" s="22">
        <f>0</f>
        <v>0</v>
      </c>
      <c r="F18" s="22">
        <f>221184</f>
        <v>221184</v>
      </c>
      <c r="G18" s="22">
        <f>0</f>
        <v>0</v>
      </c>
      <c r="H18" s="22">
        <f>0</f>
        <v>0</v>
      </c>
      <c r="I18" s="22">
        <f>0</f>
        <v>0</v>
      </c>
      <c r="J18" s="22">
        <f>3010000</f>
        <v>3010000</v>
      </c>
      <c r="K18" s="22">
        <f>524424.88</f>
        <v>524424.88</v>
      </c>
      <c r="L18" s="22">
        <f>0</f>
        <v>0</v>
      </c>
      <c r="M18" s="22">
        <f>0</f>
        <v>0</v>
      </c>
      <c r="N18" s="22">
        <f>0</f>
        <v>0</v>
      </c>
      <c r="O18" s="22">
        <f>0</f>
        <v>0</v>
      </c>
      <c r="P18" s="22">
        <f>0</f>
        <v>0</v>
      </c>
      <c r="Q18" s="22">
        <f>0</f>
        <v>0</v>
      </c>
    </row>
    <row r="19" spans="1:17" ht="21.75" customHeight="1" x14ac:dyDescent="0.2">
      <c r="A19" s="17" t="s">
        <v>49</v>
      </c>
      <c r="B19" s="22">
        <f>6838516129.47</f>
        <v>6838516129.4700003</v>
      </c>
      <c r="C19" s="22">
        <f>6838516129.47</f>
        <v>6838516129.4700003</v>
      </c>
      <c r="D19" s="22">
        <f>242865885.37</f>
        <v>242865885.37</v>
      </c>
      <c r="E19" s="22">
        <f>200020070.31</f>
        <v>200020070.31</v>
      </c>
      <c r="F19" s="22">
        <f>8346354.43</f>
        <v>8346354.4299999997</v>
      </c>
      <c r="G19" s="22">
        <f>34499460.63</f>
        <v>34499460.630000003</v>
      </c>
      <c r="H19" s="22">
        <f>0</f>
        <v>0</v>
      </c>
      <c r="I19" s="22">
        <f>0</f>
        <v>0</v>
      </c>
      <c r="J19" s="22">
        <f>6230493277.77</f>
        <v>6230493277.7700005</v>
      </c>
      <c r="K19" s="22">
        <f>358974966.7</f>
        <v>358974966.69999999</v>
      </c>
      <c r="L19" s="22">
        <f>3384164.23</f>
        <v>3384164.23</v>
      </c>
      <c r="M19" s="22">
        <f>0</f>
        <v>0</v>
      </c>
      <c r="N19" s="22">
        <f>2797835.4</f>
        <v>2797835.4</v>
      </c>
      <c r="O19" s="22">
        <f>0</f>
        <v>0</v>
      </c>
      <c r="P19" s="22">
        <f>0</f>
        <v>0</v>
      </c>
      <c r="Q19" s="22">
        <f>0</f>
        <v>0</v>
      </c>
    </row>
    <row r="20" spans="1:17" ht="21.75" customHeight="1" x14ac:dyDescent="0.2">
      <c r="A20" s="17" t="s">
        <v>50</v>
      </c>
      <c r="B20" s="22">
        <f>0</f>
        <v>0</v>
      </c>
      <c r="C20" s="22">
        <f>0</f>
        <v>0</v>
      </c>
      <c r="D20" s="22">
        <f>0</f>
        <v>0</v>
      </c>
      <c r="E20" s="22">
        <f>0</f>
        <v>0</v>
      </c>
      <c r="F20" s="22">
        <f>0</f>
        <v>0</v>
      </c>
      <c r="G20" s="22">
        <f>0</f>
        <v>0</v>
      </c>
      <c r="H20" s="22">
        <f>0</f>
        <v>0</v>
      </c>
      <c r="I20" s="22">
        <f>0</f>
        <v>0</v>
      </c>
      <c r="J20" s="22">
        <f>0</f>
        <v>0</v>
      </c>
      <c r="K20" s="22">
        <f>0</f>
        <v>0</v>
      </c>
      <c r="L20" s="22">
        <f>0</f>
        <v>0</v>
      </c>
      <c r="M20" s="22">
        <f>0</f>
        <v>0</v>
      </c>
      <c r="N20" s="22">
        <f>0</f>
        <v>0</v>
      </c>
      <c r="O20" s="22">
        <f>0</f>
        <v>0</v>
      </c>
      <c r="P20" s="22">
        <f>0</f>
        <v>0</v>
      </c>
      <c r="Q20" s="22">
        <f>0</f>
        <v>0</v>
      </c>
    </row>
    <row r="21" spans="1:17" ht="24.75" customHeight="1" x14ac:dyDescent="0.2">
      <c r="A21" s="20" t="s">
        <v>79</v>
      </c>
      <c r="B21" s="21">
        <f>8592405.38</f>
        <v>8592405.3800000008</v>
      </c>
      <c r="C21" s="21">
        <f>8592405.38</f>
        <v>8592405.3800000008</v>
      </c>
      <c r="D21" s="21">
        <f>8109126.91</f>
        <v>8109126.9100000001</v>
      </c>
      <c r="E21" s="21">
        <f>7014421.52</f>
        <v>7014421.5199999996</v>
      </c>
      <c r="F21" s="21">
        <f>0</f>
        <v>0</v>
      </c>
      <c r="G21" s="21">
        <f>1094705.39</f>
        <v>1094705.3899999999</v>
      </c>
      <c r="H21" s="21">
        <f>0</f>
        <v>0</v>
      </c>
      <c r="I21" s="21">
        <f>0</f>
        <v>0</v>
      </c>
      <c r="J21" s="21">
        <f>0</f>
        <v>0</v>
      </c>
      <c r="K21" s="21">
        <f>0</f>
        <v>0</v>
      </c>
      <c r="L21" s="21">
        <f>260084.69</f>
        <v>260084.69</v>
      </c>
      <c r="M21" s="21">
        <f>168175.5</f>
        <v>168175.5</v>
      </c>
      <c r="N21" s="21">
        <f>55018.28</f>
        <v>55018.28</v>
      </c>
      <c r="O21" s="21">
        <f>0</f>
        <v>0</v>
      </c>
      <c r="P21" s="21">
        <f>0</f>
        <v>0</v>
      </c>
      <c r="Q21" s="21">
        <f>0</f>
        <v>0</v>
      </c>
    </row>
    <row r="22" spans="1:17" ht="22.5" x14ac:dyDescent="0.2">
      <c r="A22" s="17" t="s">
        <v>51</v>
      </c>
      <c r="B22" s="22">
        <f>821752.77</f>
        <v>821752.77</v>
      </c>
      <c r="C22" s="22">
        <f>821752.77</f>
        <v>821752.77</v>
      </c>
      <c r="D22" s="22">
        <f>608825.13</f>
        <v>608825.13</v>
      </c>
      <c r="E22" s="22">
        <f>0</f>
        <v>0</v>
      </c>
      <c r="F22" s="22">
        <f>0</f>
        <v>0</v>
      </c>
      <c r="G22" s="22">
        <f>608825.13</f>
        <v>608825.13</v>
      </c>
      <c r="H22" s="22">
        <f>0</f>
        <v>0</v>
      </c>
      <c r="I22" s="22">
        <f>0</f>
        <v>0</v>
      </c>
      <c r="J22" s="22">
        <f>0</f>
        <v>0</v>
      </c>
      <c r="K22" s="22">
        <f>0</f>
        <v>0</v>
      </c>
      <c r="L22" s="22">
        <f>141693.9</f>
        <v>141693.9</v>
      </c>
      <c r="M22" s="22">
        <f>16215.46</f>
        <v>16215.46</v>
      </c>
      <c r="N22" s="22">
        <f>55018.28</f>
        <v>55018.28</v>
      </c>
      <c r="O22" s="22">
        <f>0</f>
        <v>0</v>
      </c>
      <c r="P22" s="22">
        <f>0</f>
        <v>0</v>
      </c>
      <c r="Q22" s="22">
        <f>0</f>
        <v>0</v>
      </c>
    </row>
    <row r="23" spans="1:17" ht="23.25" customHeight="1" x14ac:dyDescent="0.2">
      <c r="A23" s="17" t="s">
        <v>52</v>
      </c>
      <c r="B23" s="22">
        <f>7770652.61</f>
        <v>7770652.6100000003</v>
      </c>
      <c r="C23" s="22">
        <f>7770652.61</f>
        <v>7770652.6100000003</v>
      </c>
      <c r="D23" s="22">
        <f>7500301.78</f>
        <v>7500301.7800000003</v>
      </c>
      <c r="E23" s="22">
        <f>7014421.52</f>
        <v>7014421.5199999996</v>
      </c>
      <c r="F23" s="22">
        <f>0</f>
        <v>0</v>
      </c>
      <c r="G23" s="22">
        <f>485880.26</f>
        <v>485880.26</v>
      </c>
      <c r="H23" s="22">
        <f>0</f>
        <v>0</v>
      </c>
      <c r="I23" s="22">
        <f>0</f>
        <v>0</v>
      </c>
      <c r="J23" s="22">
        <f>0</f>
        <v>0</v>
      </c>
      <c r="K23" s="22">
        <f>0</f>
        <v>0</v>
      </c>
      <c r="L23" s="22">
        <f>118390.79</f>
        <v>118390.79</v>
      </c>
      <c r="M23" s="22">
        <f>151960.04</f>
        <v>151960.04</v>
      </c>
      <c r="N23" s="22">
        <f>0</f>
        <v>0</v>
      </c>
      <c r="O23" s="22">
        <f>0</f>
        <v>0</v>
      </c>
      <c r="P23" s="22">
        <f>0</f>
        <v>0</v>
      </c>
      <c r="Q23" s="22">
        <f>0</f>
        <v>0</v>
      </c>
    </row>
    <row r="24" spans="1:17" ht="19.5" customHeight="1" x14ac:dyDescent="0.2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9.5" customHeight="1" x14ac:dyDescent="0.2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9.5" customHeight="1" x14ac:dyDescent="0.2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45.75" customHeight="1" x14ac:dyDescent="0.2">
      <c r="A27" s="47" t="str">
        <f>CONCATENATE("Informacja z wykonania budżetów powiatów za   ",$C$90," ",$B$91," roku    ",$B$93,"")</f>
        <v xml:space="preserve">Informacja z wykonania budżetów powiatów za   IV Kwartały 2023 roku    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</row>
    <row r="29" spans="1:17" ht="13.5" customHeight="1" x14ac:dyDescent="0.2">
      <c r="A29" s="48" t="s">
        <v>11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1" spans="1:17" ht="13.5" customHeight="1" x14ac:dyDescent="0.2">
      <c r="A31" s="38" t="s">
        <v>0</v>
      </c>
      <c r="B31" s="43" t="s">
        <v>12</v>
      </c>
      <c r="C31" s="44" t="s">
        <v>14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6"/>
      <c r="O31" s="44" t="s">
        <v>24</v>
      </c>
      <c r="P31" s="45"/>
      <c r="Q31" s="46"/>
    </row>
    <row r="32" spans="1:17" ht="13.5" customHeight="1" x14ac:dyDescent="0.2">
      <c r="A32" s="39"/>
      <c r="B32" s="41"/>
      <c r="C32" s="41" t="s">
        <v>13</v>
      </c>
      <c r="D32" s="37" t="s">
        <v>15</v>
      </c>
      <c r="E32" s="37" t="s">
        <v>25</v>
      </c>
      <c r="F32" s="37" t="s">
        <v>26</v>
      </c>
      <c r="G32" s="37" t="s">
        <v>70</v>
      </c>
      <c r="H32" s="37" t="s">
        <v>28</v>
      </c>
      <c r="I32" s="37" t="s">
        <v>1</v>
      </c>
      <c r="J32" s="37" t="s">
        <v>16</v>
      </c>
      <c r="K32" s="37" t="s">
        <v>17</v>
      </c>
      <c r="L32" s="37" t="s">
        <v>18</v>
      </c>
      <c r="M32" s="37" t="s">
        <v>19</v>
      </c>
      <c r="N32" s="85" t="s">
        <v>20</v>
      </c>
      <c r="O32" s="37" t="s">
        <v>21</v>
      </c>
      <c r="P32" s="37" t="s">
        <v>22</v>
      </c>
      <c r="Q32" s="43" t="s">
        <v>23</v>
      </c>
    </row>
    <row r="33" spans="1:17" ht="13.5" customHeight="1" x14ac:dyDescent="0.2">
      <c r="A33" s="39"/>
      <c r="B33" s="41"/>
      <c r="C33" s="41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85"/>
      <c r="O33" s="37"/>
      <c r="P33" s="37"/>
      <c r="Q33" s="41"/>
    </row>
    <row r="34" spans="1:17" ht="11.25" customHeight="1" x14ac:dyDescent="0.2">
      <c r="A34" s="39"/>
      <c r="B34" s="41"/>
      <c r="C34" s="4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85"/>
      <c r="O34" s="37"/>
      <c r="P34" s="37"/>
      <c r="Q34" s="41"/>
    </row>
    <row r="35" spans="1:17" ht="41.25" customHeight="1" x14ac:dyDescent="0.2">
      <c r="A35" s="40"/>
      <c r="B35" s="42"/>
      <c r="C35" s="42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85"/>
      <c r="O35" s="37"/>
      <c r="P35" s="37"/>
      <c r="Q35" s="42"/>
    </row>
    <row r="36" spans="1:17" ht="15.75" customHeight="1" x14ac:dyDescent="0.2">
      <c r="A36" s="13">
        <v>1</v>
      </c>
      <c r="B36" s="13">
        <v>2</v>
      </c>
      <c r="C36" s="13">
        <v>3</v>
      </c>
      <c r="D36" s="13">
        <v>4</v>
      </c>
      <c r="E36" s="13">
        <v>5</v>
      </c>
      <c r="F36" s="13">
        <v>6</v>
      </c>
      <c r="G36" s="13">
        <v>7</v>
      </c>
      <c r="H36" s="13">
        <v>8</v>
      </c>
      <c r="I36" s="13">
        <v>9</v>
      </c>
      <c r="J36" s="13">
        <v>10</v>
      </c>
      <c r="K36" s="13">
        <v>11</v>
      </c>
      <c r="L36" s="13">
        <v>12</v>
      </c>
      <c r="M36" s="13">
        <v>13</v>
      </c>
      <c r="N36" s="13">
        <v>14</v>
      </c>
      <c r="O36" s="13">
        <v>15</v>
      </c>
      <c r="P36" s="13">
        <v>16</v>
      </c>
      <c r="Q36" s="13">
        <v>17</v>
      </c>
    </row>
    <row r="37" spans="1:17" ht="12" customHeight="1" x14ac:dyDescent="0.2">
      <c r="A37" s="13"/>
      <c r="B37" s="27" t="s">
        <v>76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1"/>
    </row>
    <row r="38" spans="1:17" ht="30" customHeight="1" x14ac:dyDescent="0.2">
      <c r="A38" s="25" t="s">
        <v>40</v>
      </c>
      <c r="B38" s="23">
        <f>241282.84</f>
        <v>241282.84</v>
      </c>
      <c r="C38" s="23">
        <f>241282.84</f>
        <v>241282.84</v>
      </c>
      <c r="D38" s="23">
        <f>50000</f>
        <v>50000</v>
      </c>
      <c r="E38" s="23">
        <f>50000</f>
        <v>50000</v>
      </c>
      <c r="F38" s="23">
        <f>0</f>
        <v>0</v>
      </c>
      <c r="G38" s="23">
        <f>0</f>
        <v>0</v>
      </c>
      <c r="H38" s="23">
        <f>0</f>
        <v>0</v>
      </c>
      <c r="I38" s="23">
        <f>0</f>
        <v>0</v>
      </c>
      <c r="J38" s="23">
        <f>0</f>
        <v>0</v>
      </c>
      <c r="K38" s="23">
        <f>0</f>
        <v>0</v>
      </c>
      <c r="L38" s="23">
        <f>32532.5</f>
        <v>32532.5</v>
      </c>
      <c r="M38" s="23">
        <f>158750.34</f>
        <v>158750.34</v>
      </c>
      <c r="N38" s="23">
        <f>0</f>
        <v>0</v>
      </c>
      <c r="O38" s="23">
        <f>0</f>
        <v>0</v>
      </c>
      <c r="P38" s="23">
        <f>0</f>
        <v>0</v>
      </c>
      <c r="Q38" s="23">
        <f>0</f>
        <v>0</v>
      </c>
    </row>
    <row r="39" spans="1:17" ht="25.5" customHeight="1" x14ac:dyDescent="0.2">
      <c r="A39" s="18" t="s">
        <v>29</v>
      </c>
      <c r="B39" s="24">
        <f>0</f>
        <v>0</v>
      </c>
      <c r="C39" s="24">
        <f>0</f>
        <v>0</v>
      </c>
      <c r="D39" s="24">
        <f>0</f>
        <v>0</v>
      </c>
      <c r="E39" s="24">
        <f>0</f>
        <v>0</v>
      </c>
      <c r="F39" s="24">
        <f>0</f>
        <v>0</v>
      </c>
      <c r="G39" s="24">
        <f>0</f>
        <v>0</v>
      </c>
      <c r="H39" s="24">
        <f>0</f>
        <v>0</v>
      </c>
      <c r="I39" s="24">
        <f>0</f>
        <v>0</v>
      </c>
      <c r="J39" s="24">
        <f>0</f>
        <v>0</v>
      </c>
      <c r="K39" s="24">
        <f>0</f>
        <v>0</v>
      </c>
      <c r="L39" s="24">
        <f>0</f>
        <v>0</v>
      </c>
      <c r="M39" s="24">
        <f>0</f>
        <v>0</v>
      </c>
      <c r="N39" s="24">
        <f>0</f>
        <v>0</v>
      </c>
      <c r="O39" s="24">
        <f>0</f>
        <v>0</v>
      </c>
      <c r="P39" s="24">
        <f>0</f>
        <v>0</v>
      </c>
      <c r="Q39" s="24">
        <f>0</f>
        <v>0</v>
      </c>
    </row>
    <row r="40" spans="1:17" ht="25.5" customHeight="1" x14ac:dyDescent="0.2">
      <c r="A40" s="18" t="s">
        <v>30</v>
      </c>
      <c r="B40" s="24">
        <f>241282.84</f>
        <v>241282.84</v>
      </c>
      <c r="C40" s="24">
        <f>241282.84</f>
        <v>241282.84</v>
      </c>
      <c r="D40" s="24">
        <f>50000</f>
        <v>50000</v>
      </c>
      <c r="E40" s="24">
        <f>50000</f>
        <v>50000</v>
      </c>
      <c r="F40" s="24">
        <f>0</f>
        <v>0</v>
      </c>
      <c r="G40" s="24">
        <f>0</f>
        <v>0</v>
      </c>
      <c r="H40" s="24">
        <f>0</f>
        <v>0</v>
      </c>
      <c r="I40" s="24">
        <f>0</f>
        <v>0</v>
      </c>
      <c r="J40" s="24">
        <f>0</f>
        <v>0</v>
      </c>
      <c r="K40" s="24">
        <f>0</f>
        <v>0</v>
      </c>
      <c r="L40" s="24">
        <f>32532.5</f>
        <v>32532.5</v>
      </c>
      <c r="M40" s="24">
        <f>158750.34</f>
        <v>158750.34</v>
      </c>
      <c r="N40" s="24">
        <f>0</f>
        <v>0</v>
      </c>
      <c r="O40" s="24">
        <f>0</f>
        <v>0</v>
      </c>
      <c r="P40" s="24">
        <f>0</f>
        <v>0</v>
      </c>
      <c r="Q40" s="24">
        <f>0</f>
        <v>0</v>
      </c>
    </row>
    <row r="41" spans="1:17" ht="30" customHeight="1" x14ac:dyDescent="0.2">
      <c r="A41" s="25" t="s">
        <v>41</v>
      </c>
      <c r="B41" s="23">
        <f>171407837.79</f>
        <v>171407837.78999999</v>
      </c>
      <c r="C41" s="23">
        <f>171407837.79</f>
        <v>171407837.78999999</v>
      </c>
      <c r="D41" s="23">
        <f>117724194.42</f>
        <v>117724194.42</v>
      </c>
      <c r="E41" s="23">
        <f>63452.61</f>
        <v>63452.61</v>
      </c>
      <c r="F41" s="23">
        <f>2242537.6</f>
        <v>2242537.6</v>
      </c>
      <c r="G41" s="23">
        <f>115418204.21</f>
        <v>115418204.20999999</v>
      </c>
      <c r="H41" s="23">
        <f>0</f>
        <v>0</v>
      </c>
      <c r="I41" s="23">
        <f>0</f>
        <v>0</v>
      </c>
      <c r="J41" s="23">
        <f>1083504</f>
        <v>1083504</v>
      </c>
      <c r="K41" s="23">
        <f>0</f>
        <v>0</v>
      </c>
      <c r="L41" s="23">
        <f>39144064.19</f>
        <v>39144064.189999998</v>
      </c>
      <c r="M41" s="23">
        <f>12403279.05</f>
        <v>12403279.050000001</v>
      </c>
      <c r="N41" s="23">
        <f>1052796.13</f>
        <v>1052796.1299999999</v>
      </c>
      <c r="O41" s="23">
        <f>0</f>
        <v>0</v>
      </c>
      <c r="P41" s="23">
        <f>0</f>
        <v>0</v>
      </c>
      <c r="Q41" s="23">
        <f>0</f>
        <v>0</v>
      </c>
    </row>
    <row r="42" spans="1:17" ht="25.5" customHeight="1" x14ac:dyDescent="0.2">
      <c r="A42" s="18" t="s">
        <v>31</v>
      </c>
      <c r="B42" s="24">
        <f>20384605.83</f>
        <v>20384605.829999998</v>
      </c>
      <c r="C42" s="24">
        <f>20384605.83</f>
        <v>20384605.829999998</v>
      </c>
      <c r="D42" s="24">
        <f>13226967.98</f>
        <v>13226967.98</v>
      </c>
      <c r="E42" s="24">
        <f>0</f>
        <v>0</v>
      </c>
      <c r="F42" s="24">
        <f>740000</f>
        <v>740000</v>
      </c>
      <c r="G42" s="24">
        <f>12486967.98</f>
        <v>12486967.98</v>
      </c>
      <c r="H42" s="24">
        <f>0</f>
        <v>0</v>
      </c>
      <c r="I42" s="24">
        <f>0</f>
        <v>0</v>
      </c>
      <c r="J42" s="24">
        <f>0</f>
        <v>0</v>
      </c>
      <c r="K42" s="24">
        <f>0</f>
        <v>0</v>
      </c>
      <c r="L42" s="24">
        <f>5581355.77</f>
        <v>5581355.7699999996</v>
      </c>
      <c r="M42" s="24">
        <f>1441336.08</f>
        <v>1441336.08</v>
      </c>
      <c r="N42" s="24">
        <f>134946</f>
        <v>134946</v>
      </c>
      <c r="O42" s="24">
        <f>0</f>
        <v>0</v>
      </c>
      <c r="P42" s="24">
        <f>0</f>
        <v>0</v>
      </c>
      <c r="Q42" s="24">
        <f>0</f>
        <v>0</v>
      </c>
    </row>
    <row r="43" spans="1:17" ht="25.5" customHeight="1" x14ac:dyDescent="0.2">
      <c r="A43" s="18" t="s">
        <v>32</v>
      </c>
      <c r="B43" s="24">
        <f>151023231.96</f>
        <v>151023231.96000001</v>
      </c>
      <c r="C43" s="24">
        <f>151023231.96</f>
        <v>151023231.96000001</v>
      </c>
      <c r="D43" s="24">
        <f>104497226.44</f>
        <v>104497226.44</v>
      </c>
      <c r="E43" s="24">
        <f>63452.61</f>
        <v>63452.61</v>
      </c>
      <c r="F43" s="24">
        <f>1502537.6</f>
        <v>1502537.6</v>
      </c>
      <c r="G43" s="24">
        <f>102931236.23</f>
        <v>102931236.23</v>
      </c>
      <c r="H43" s="24">
        <f>0</f>
        <v>0</v>
      </c>
      <c r="I43" s="24">
        <f>0</f>
        <v>0</v>
      </c>
      <c r="J43" s="24">
        <f>1083504</f>
        <v>1083504</v>
      </c>
      <c r="K43" s="24">
        <f>0</f>
        <v>0</v>
      </c>
      <c r="L43" s="24">
        <f>33562708.42</f>
        <v>33562708.420000002</v>
      </c>
      <c r="M43" s="24">
        <f>10961942.97</f>
        <v>10961942.970000001</v>
      </c>
      <c r="N43" s="24">
        <f>917850.13</f>
        <v>917850.13</v>
      </c>
      <c r="O43" s="24">
        <f>0</f>
        <v>0</v>
      </c>
      <c r="P43" s="24">
        <f>0</f>
        <v>0</v>
      </c>
      <c r="Q43" s="24">
        <f>0</f>
        <v>0</v>
      </c>
    </row>
    <row r="44" spans="1:17" ht="30" customHeight="1" x14ac:dyDescent="0.2">
      <c r="A44" s="25" t="s">
        <v>42</v>
      </c>
      <c r="B44" s="23">
        <f>5959147826.96</f>
        <v>5959147826.96</v>
      </c>
      <c r="C44" s="23">
        <f>5959147826.96</f>
        <v>5959147826.96</v>
      </c>
      <c r="D44" s="23">
        <f>173205.84</f>
        <v>173205.84</v>
      </c>
      <c r="E44" s="23">
        <f>22397.36</f>
        <v>22397.360000000001</v>
      </c>
      <c r="F44" s="23">
        <f>2903</f>
        <v>2903</v>
      </c>
      <c r="G44" s="23">
        <f>147905.48</f>
        <v>147905.48000000001</v>
      </c>
      <c r="H44" s="23">
        <f>0</f>
        <v>0</v>
      </c>
      <c r="I44" s="23">
        <f>3758549.22</f>
        <v>3758549.22</v>
      </c>
      <c r="J44" s="23">
        <f>5955022483.72</f>
        <v>5955022483.7200003</v>
      </c>
      <c r="K44" s="23">
        <f>52383.26</f>
        <v>52383.26</v>
      </c>
      <c r="L44" s="23">
        <f>44921.8</f>
        <v>44921.8</v>
      </c>
      <c r="M44" s="23">
        <f>2000</f>
        <v>2000</v>
      </c>
      <c r="N44" s="23">
        <f>94283.12</f>
        <v>94283.12</v>
      </c>
      <c r="O44" s="23">
        <f>0</f>
        <v>0</v>
      </c>
      <c r="P44" s="23">
        <f>0</f>
        <v>0</v>
      </c>
      <c r="Q44" s="23">
        <f>0</f>
        <v>0</v>
      </c>
    </row>
    <row r="45" spans="1:17" ht="25.5" customHeight="1" x14ac:dyDescent="0.2">
      <c r="A45" s="18" t="s">
        <v>33</v>
      </c>
      <c r="B45" s="24">
        <f>124355.08</f>
        <v>124355.08</v>
      </c>
      <c r="C45" s="24">
        <f>124355.08</f>
        <v>124355.08</v>
      </c>
      <c r="D45" s="24">
        <f>124355.08</f>
        <v>124355.08</v>
      </c>
      <c r="E45" s="24">
        <f>0</f>
        <v>0</v>
      </c>
      <c r="F45" s="24">
        <f>0</f>
        <v>0</v>
      </c>
      <c r="G45" s="24">
        <f>124355.08</f>
        <v>124355.08</v>
      </c>
      <c r="H45" s="24">
        <f>0</f>
        <v>0</v>
      </c>
      <c r="I45" s="24">
        <f>0</f>
        <v>0</v>
      </c>
      <c r="J45" s="24">
        <f>0</f>
        <v>0</v>
      </c>
      <c r="K45" s="24">
        <f>0</f>
        <v>0</v>
      </c>
      <c r="L45" s="24">
        <f>0</f>
        <v>0</v>
      </c>
      <c r="M45" s="24">
        <f>0</f>
        <v>0</v>
      </c>
      <c r="N45" s="24">
        <f>0</f>
        <v>0</v>
      </c>
      <c r="O45" s="24">
        <f>0</f>
        <v>0</v>
      </c>
      <c r="P45" s="24">
        <f>0</f>
        <v>0</v>
      </c>
      <c r="Q45" s="24">
        <f>0</f>
        <v>0</v>
      </c>
    </row>
    <row r="46" spans="1:17" ht="25.5" customHeight="1" x14ac:dyDescent="0.2">
      <c r="A46" s="18" t="s">
        <v>34</v>
      </c>
      <c r="B46" s="24">
        <f>5804246275.6</f>
        <v>5804246275.6000004</v>
      </c>
      <c r="C46" s="24">
        <f>5804246275.6</f>
        <v>5804246275.6000004</v>
      </c>
      <c r="D46" s="24">
        <f>22934.36</f>
        <v>22934.36</v>
      </c>
      <c r="E46" s="24">
        <f>558.83</f>
        <v>558.83000000000004</v>
      </c>
      <c r="F46" s="24">
        <f>263</f>
        <v>263</v>
      </c>
      <c r="G46" s="24">
        <f>22112.53</f>
        <v>22112.53</v>
      </c>
      <c r="H46" s="24">
        <f>0</f>
        <v>0</v>
      </c>
      <c r="I46" s="24">
        <f>3758549.22</f>
        <v>3758549.22</v>
      </c>
      <c r="J46" s="24">
        <f>5800312297.91</f>
        <v>5800312297.9099998</v>
      </c>
      <c r="K46" s="24">
        <f>43051.46</f>
        <v>43051.46</v>
      </c>
      <c r="L46" s="24">
        <f>15159.53</f>
        <v>15159.53</v>
      </c>
      <c r="M46" s="24">
        <f>0</f>
        <v>0</v>
      </c>
      <c r="N46" s="24">
        <f>94283.12</f>
        <v>94283.12</v>
      </c>
      <c r="O46" s="24">
        <f>0</f>
        <v>0</v>
      </c>
      <c r="P46" s="24">
        <f>0</f>
        <v>0</v>
      </c>
      <c r="Q46" s="24">
        <f>0</f>
        <v>0</v>
      </c>
    </row>
    <row r="47" spans="1:17" ht="25.5" customHeight="1" x14ac:dyDescent="0.2">
      <c r="A47" s="18" t="s">
        <v>35</v>
      </c>
      <c r="B47" s="24">
        <f>154777196.28</f>
        <v>154777196.28</v>
      </c>
      <c r="C47" s="24">
        <f>154777196.28</f>
        <v>154777196.28</v>
      </c>
      <c r="D47" s="24">
        <f>25916.4</f>
        <v>25916.400000000001</v>
      </c>
      <c r="E47" s="24">
        <f>21838.53</f>
        <v>21838.53</v>
      </c>
      <c r="F47" s="24">
        <f>2640</f>
        <v>2640</v>
      </c>
      <c r="G47" s="24">
        <f>1437.87</f>
        <v>1437.87</v>
      </c>
      <c r="H47" s="24">
        <f>0</f>
        <v>0</v>
      </c>
      <c r="I47" s="24">
        <f>0</f>
        <v>0</v>
      </c>
      <c r="J47" s="24">
        <f>154710185.81</f>
        <v>154710185.81</v>
      </c>
      <c r="K47" s="24">
        <f>9331.8</f>
        <v>9331.7999999999993</v>
      </c>
      <c r="L47" s="24">
        <f>29762.27</f>
        <v>29762.27</v>
      </c>
      <c r="M47" s="24">
        <f>2000</f>
        <v>2000</v>
      </c>
      <c r="N47" s="24">
        <f>0</f>
        <v>0</v>
      </c>
      <c r="O47" s="24">
        <f>0</f>
        <v>0</v>
      </c>
      <c r="P47" s="24">
        <f>0</f>
        <v>0</v>
      </c>
      <c r="Q47" s="24">
        <f>0</f>
        <v>0</v>
      </c>
    </row>
    <row r="48" spans="1:17" ht="30" customHeight="1" x14ac:dyDescent="0.2">
      <c r="A48" s="25" t="s">
        <v>43</v>
      </c>
      <c r="B48" s="23">
        <f>825839571.86</f>
        <v>825839571.86000001</v>
      </c>
      <c r="C48" s="23">
        <f>824995497.55</f>
        <v>824995497.54999995</v>
      </c>
      <c r="D48" s="23">
        <f>26267909.53</f>
        <v>26267909.530000001</v>
      </c>
      <c r="E48" s="23">
        <f>8425657.77</f>
        <v>8425657.7699999996</v>
      </c>
      <c r="F48" s="23">
        <f>1160507.13</f>
        <v>1160507.1299999999</v>
      </c>
      <c r="G48" s="23">
        <f>16676652.83</f>
        <v>16676652.83</v>
      </c>
      <c r="H48" s="23">
        <f>5091.8</f>
        <v>5091.8</v>
      </c>
      <c r="I48" s="23">
        <f>0</f>
        <v>0</v>
      </c>
      <c r="J48" s="23">
        <f>3008728.03</f>
        <v>3008728.03</v>
      </c>
      <c r="K48" s="23">
        <f>2427304.89</f>
        <v>2427304.89</v>
      </c>
      <c r="L48" s="23">
        <f>234948183.22</f>
        <v>234948183.22</v>
      </c>
      <c r="M48" s="23">
        <f>543098231.12</f>
        <v>543098231.12</v>
      </c>
      <c r="N48" s="23">
        <f>15245140.76</f>
        <v>15245140.76</v>
      </c>
      <c r="O48" s="23">
        <f>844074.31</f>
        <v>844074.31</v>
      </c>
      <c r="P48" s="23">
        <f>269345.5</f>
        <v>269345.5</v>
      </c>
      <c r="Q48" s="23">
        <f>574728.81</f>
        <v>574728.81000000006</v>
      </c>
    </row>
    <row r="49" spans="1:17" ht="25.5" customHeight="1" x14ac:dyDescent="0.2">
      <c r="A49" s="18" t="s">
        <v>36</v>
      </c>
      <c r="B49" s="24">
        <f>144616230.41</f>
        <v>144616230.41</v>
      </c>
      <c r="C49" s="24">
        <f>144590598.61</f>
        <v>144590598.61000001</v>
      </c>
      <c r="D49" s="24">
        <f>2228618.09</f>
        <v>2228618.09</v>
      </c>
      <c r="E49" s="24">
        <f>22772.42</f>
        <v>22772.42</v>
      </c>
      <c r="F49" s="24">
        <f>315575.44</f>
        <v>315575.44</v>
      </c>
      <c r="G49" s="24">
        <f>1887755.73</f>
        <v>1887755.73</v>
      </c>
      <c r="H49" s="24">
        <f>2514.5</f>
        <v>2514.5</v>
      </c>
      <c r="I49" s="24">
        <f>0</f>
        <v>0</v>
      </c>
      <c r="J49" s="24">
        <f>6340</f>
        <v>6340</v>
      </c>
      <c r="K49" s="24">
        <f>99371.49</f>
        <v>99371.49</v>
      </c>
      <c r="L49" s="24">
        <f>46052218.89</f>
        <v>46052218.890000001</v>
      </c>
      <c r="M49" s="24">
        <f>95222028.07</f>
        <v>95222028.069999993</v>
      </c>
      <c r="N49" s="24">
        <f>982022.07</f>
        <v>982022.07</v>
      </c>
      <c r="O49" s="24">
        <f>25631.8</f>
        <v>25631.8</v>
      </c>
      <c r="P49" s="24">
        <f>25631.8</f>
        <v>25631.8</v>
      </c>
      <c r="Q49" s="24">
        <f>0</f>
        <v>0</v>
      </c>
    </row>
    <row r="50" spans="1:17" ht="25.5" customHeight="1" x14ac:dyDescent="0.2">
      <c r="A50" s="18" t="s">
        <v>37</v>
      </c>
      <c r="B50" s="24">
        <f>681223341.45</f>
        <v>681223341.45000005</v>
      </c>
      <c r="C50" s="24">
        <f>680404898.94</f>
        <v>680404898.94000006</v>
      </c>
      <c r="D50" s="24">
        <f>24039291.44</f>
        <v>24039291.440000001</v>
      </c>
      <c r="E50" s="24">
        <f>8402885.35</f>
        <v>8402885.3499999996</v>
      </c>
      <c r="F50" s="24">
        <f>844931.69</f>
        <v>844931.69</v>
      </c>
      <c r="G50" s="24">
        <f>14788897.1</f>
        <v>14788897.1</v>
      </c>
      <c r="H50" s="24">
        <f>2577.3</f>
        <v>2577.3000000000002</v>
      </c>
      <c r="I50" s="24">
        <f>0</f>
        <v>0</v>
      </c>
      <c r="J50" s="24">
        <f>3002388.03</f>
        <v>3002388.03</v>
      </c>
      <c r="K50" s="24">
        <f>2327933.4</f>
        <v>2327933.4</v>
      </c>
      <c r="L50" s="24">
        <f>188895964.33</f>
        <v>188895964.33000001</v>
      </c>
      <c r="M50" s="24">
        <f>447876203.05</f>
        <v>447876203.05000001</v>
      </c>
      <c r="N50" s="24">
        <f>14263118.69</f>
        <v>14263118.689999999</v>
      </c>
      <c r="O50" s="24">
        <f>818442.51</f>
        <v>818442.51</v>
      </c>
      <c r="P50" s="24">
        <f>243713.7</f>
        <v>243713.7</v>
      </c>
      <c r="Q50" s="24">
        <f>574728.81</f>
        <v>574728.81000000006</v>
      </c>
    </row>
    <row r="51" spans="1:17" ht="30" customHeight="1" x14ac:dyDescent="0.2">
      <c r="A51" s="25" t="s">
        <v>44</v>
      </c>
      <c r="B51" s="23">
        <f>679255112.67</f>
        <v>679255112.66999996</v>
      </c>
      <c r="C51" s="23">
        <f>679237673.61</f>
        <v>679237673.61000001</v>
      </c>
      <c r="D51" s="23">
        <f>191782592.44</f>
        <v>191782592.44</v>
      </c>
      <c r="E51" s="23">
        <f>17401973.57</f>
        <v>17401973.57</v>
      </c>
      <c r="F51" s="23">
        <f>4121841.53</f>
        <v>4121841.53</v>
      </c>
      <c r="G51" s="23">
        <f>166168784.96</f>
        <v>166168784.96000001</v>
      </c>
      <c r="H51" s="23">
        <f>4089992.38</f>
        <v>4089992.38</v>
      </c>
      <c r="I51" s="23">
        <f>0</f>
        <v>0</v>
      </c>
      <c r="J51" s="23">
        <f>314987.91</f>
        <v>314987.90999999997</v>
      </c>
      <c r="K51" s="23">
        <f>1808112.01</f>
        <v>1808112.01</v>
      </c>
      <c r="L51" s="23">
        <f>412581239.75</f>
        <v>412581239.75</v>
      </c>
      <c r="M51" s="23">
        <f>68111325.51</f>
        <v>68111325.510000005</v>
      </c>
      <c r="N51" s="23">
        <f>4639415.99</f>
        <v>4639415.99</v>
      </c>
      <c r="O51" s="23">
        <f>17439.06</f>
        <v>17439.060000000001</v>
      </c>
      <c r="P51" s="23">
        <f>16459.06</f>
        <v>16459.060000000001</v>
      </c>
      <c r="Q51" s="23">
        <f>980</f>
        <v>980</v>
      </c>
    </row>
    <row r="52" spans="1:17" ht="31.5" customHeight="1" x14ac:dyDescent="0.2">
      <c r="A52" s="18" t="s">
        <v>38</v>
      </c>
      <c r="B52" s="24">
        <f>54143902.98</f>
        <v>54143902.979999997</v>
      </c>
      <c r="C52" s="24">
        <f>54127443.92</f>
        <v>54127443.920000002</v>
      </c>
      <c r="D52" s="24">
        <f>18565642.41</f>
        <v>18565642.41</v>
      </c>
      <c r="E52" s="24">
        <f>576565.94</f>
        <v>576565.93999999994</v>
      </c>
      <c r="F52" s="24">
        <f>1233949.97</f>
        <v>1233949.97</v>
      </c>
      <c r="G52" s="24">
        <f>15623110.7</f>
        <v>15623110.699999999</v>
      </c>
      <c r="H52" s="24">
        <f>1132015.8</f>
        <v>1132015.8</v>
      </c>
      <c r="I52" s="24">
        <f>0</f>
        <v>0</v>
      </c>
      <c r="J52" s="24">
        <f>90778.68</f>
        <v>90778.68</v>
      </c>
      <c r="K52" s="24">
        <f>543027.12</f>
        <v>543027.12</v>
      </c>
      <c r="L52" s="24">
        <f>20622667.51</f>
        <v>20622667.510000002</v>
      </c>
      <c r="M52" s="24">
        <f>13342538.19</f>
        <v>13342538.189999999</v>
      </c>
      <c r="N52" s="24">
        <f>962790.01</f>
        <v>962790.01</v>
      </c>
      <c r="O52" s="24">
        <f>16459.06</f>
        <v>16459.060000000001</v>
      </c>
      <c r="P52" s="24">
        <f>16459.06</f>
        <v>16459.060000000001</v>
      </c>
      <c r="Q52" s="24">
        <f>0</f>
        <v>0</v>
      </c>
    </row>
    <row r="53" spans="1:17" ht="35.25" customHeight="1" x14ac:dyDescent="0.2">
      <c r="A53" s="18" t="s">
        <v>80</v>
      </c>
      <c r="B53" s="24">
        <f>1411940.24</f>
        <v>1411940.24</v>
      </c>
      <c r="C53" s="24">
        <f>1411940.24</f>
        <v>1411940.24</v>
      </c>
      <c r="D53" s="24">
        <f>1038956.77</f>
        <v>1038956.77</v>
      </c>
      <c r="E53" s="24">
        <f>509385.7</f>
        <v>509385.7</v>
      </c>
      <c r="F53" s="24">
        <f>11814.81</f>
        <v>11814.81</v>
      </c>
      <c r="G53" s="24">
        <f>297079.64</f>
        <v>297079.64</v>
      </c>
      <c r="H53" s="24">
        <f>220676.62</f>
        <v>220676.62</v>
      </c>
      <c r="I53" s="24">
        <f>0</f>
        <v>0</v>
      </c>
      <c r="J53" s="24">
        <f>0.1</f>
        <v>0.1</v>
      </c>
      <c r="K53" s="24">
        <f>0</f>
        <v>0</v>
      </c>
      <c r="L53" s="24">
        <f>2967.89</f>
        <v>2967.89</v>
      </c>
      <c r="M53" s="24">
        <f>368585.57</f>
        <v>368585.57</v>
      </c>
      <c r="N53" s="24">
        <f>1429.91</f>
        <v>1429.91</v>
      </c>
      <c r="O53" s="24">
        <f>0</f>
        <v>0</v>
      </c>
      <c r="P53" s="24">
        <f>0</f>
        <v>0</v>
      </c>
      <c r="Q53" s="24">
        <f>0</f>
        <v>0</v>
      </c>
    </row>
    <row r="54" spans="1:17" ht="31.5" customHeight="1" x14ac:dyDescent="0.2">
      <c r="A54" s="18" t="s">
        <v>39</v>
      </c>
      <c r="B54" s="24">
        <f>623699269.45</f>
        <v>623699269.45000005</v>
      </c>
      <c r="C54" s="24">
        <f>623698289.45</f>
        <v>623698289.45000005</v>
      </c>
      <c r="D54" s="24">
        <f>172177993.26</f>
        <v>172177993.25999999</v>
      </c>
      <c r="E54" s="24">
        <f>16316021.93</f>
        <v>16316021.93</v>
      </c>
      <c r="F54" s="24">
        <f>2876076.75</f>
        <v>2876076.75</v>
      </c>
      <c r="G54" s="24">
        <f>150248594.62</f>
        <v>150248594.62</v>
      </c>
      <c r="H54" s="24">
        <f>2737299.96</f>
        <v>2737299.96</v>
      </c>
      <c r="I54" s="24">
        <f>0</f>
        <v>0</v>
      </c>
      <c r="J54" s="24">
        <f>224209.13</f>
        <v>224209.13</v>
      </c>
      <c r="K54" s="24">
        <f>1265084.89</f>
        <v>1265084.8899999999</v>
      </c>
      <c r="L54" s="24">
        <f>391955604.35</f>
        <v>391955604.35000002</v>
      </c>
      <c r="M54" s="24">
        <f>54400201.75</f>
        <v>54400201.75</v>
      </c>
      <c r="N54" s="24">
        <f>3675196.07</f>
        <v>3675196.07</v>
      </c>
      <c r="O54" s="24">
        <f>980</f>
        <v>980</v>
      </c>
      <c r="P54" s="24">
        <f>0</f>
        <v>0</v>
      </c>
      <c r="Q54" s="24">
        <f>980</f>
        <v>980</v>
      </c>
    </row>
    <row r="63" spans="1:17" ht="66" customHeight="1" x14ac:dyDescent="0.2">
      <c r="A63" s="47" t="str">
        <f>CONCATENATE("Informacja z wykonania budżetów powiatów za   ",$C$90," ",$B$91," roku    ",$B$93,"")</f>
        <v xml:space="preserve">Informacja z wykonania budżetów powiatów za   IV Kwartały 2023 roku    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</row>
    <row r="64" spans="1:17" ht="13.5" customHeight="1" x14ac:dyDescent="0.2">
      <c r="B64" s="48" t="s">
        <v>2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</row>
    <row r="66" spans="2:12" ht="13.5" customHeight="1" x14ac:dyDescent="0.2">
      <c r="B66" s="76" t="s">
        <v>0</v>
      </c>
      <c r="C66" s="77"/>
      <c r="D66" s="77"/>
      <c r="E66" s="78"/>
      <c r="F66" s="56" t="s">
        <v>68</v>
      </c>
      <c r="G66" s="33" t="s">
        <v>74</v>
      </c>
      <c r="H66" s="60"/>
      <c r="I66" s="60"/>
      <c r="J66" s="60"/>
      <c r="K66" s="60"/>
      <c r="L66" s="61"/>
    </row>
    <row r="67" spans="2:12" ht="13.5" customHeight="1" x14ac:dyDescent="0.2">
      <c r="B67" s="79"/>
      <c r="C67" s="80"/>
      <c r="D67" s="80"/>
      <c r="E67" s="81"/>
      <c r="F67" s="57"/>
      <c r="G67" s="59" t="s">
        <v>69</v>
      </c>
      <c r="H67" s="32" t="s">
        <v>66</v>
      </c>
      <c r="I67" s="32" t="s">
        <v>67</v>
      </c>
      <c r="J67" s="32" t="s">
        <v>70</v>
      </c>
      <c r="K67" s="32" t="s">
        <v>71</v>
      </c>
      <c r="L67" s="36" t="s">
        <v>72</v>
      </c>
    </row>
    <row r="68" spans="2:12" ht="13.5" customHeight="1" x14ac:dyDescent="0.2">
      <c r="B68" s="79"/>
      <c r="C68" s="80"/>
      <c r="D68" s="80"/>
      <c r="E68" s="81"/>
      <c r="F68" s="57"/>
      <c r="G68" s="59"/>
      <c r="H68" s="32"/>
      <c r="I68" s="32"/>
      <c r="J68" s="32"/>
      <c r="K68" s="32"/>
      <c r="L68" s="36"/>
    </row>
    <row r="69" spans="2:12" ht="11.25" customHeight="1" x14ac:dyDescent="0.2">
      <c r="B69" s="79"/>
      <c r="C69" s="80"/>
      <c r="D69" s="80"/>
      <c r="E69" s="81"/>
      <c r="F69" s="57"/>
      <c r="G69" s="59"/>
      <c r="H69" s="32"/>
      <c r="I69" s="32"/>
      <c r="J69" s="32"/>
      <c r="K69" s="32"/>
      <c r="L69" s="36"/>
    </row>
    <row r="70" spans="2:12" ht="11.25" customHeight="1" x14ac:dyDescent="0.2">
      <c r="B70" s="82"/>
      <c r="C70" s="83"/>
      <c r="D70" s="83"/>
      <c r="E70" s="84"/>
      <c r="F70" s="58"/>
      <c r="G70" s="59"/>
      <c r="H70" s="32"/>
      <c r="I70" s="32"/>
      <c r="J70" s="32"/>
      <c r="K70" s="32"/>
      <c r="L70" s="36"/>
    </row>
    <row r="71" spans="2:12" ht="11.25" customHeight="1" x14ac:dyDescent="0.2">
      <c r="B71" s="32">
        <v>1</v>
      </c>
      <c r="C71" s="32"/>
      <c r="D71" s="32"/>
      <c r="E71" s="32"/>
      <c r="F71" s="3">
        <v>2</v>
      </c>
      <c r="G71" s="3">
        <v>3</v>
      </c>
      <c r="H71" s="3">
        <v>4</v>
      </c>
      <c r="I71" s="3">
        <v>5</v>
      </c>
      <c r="J71" s="3">
        <v>6</v>
      </c>
      <c r="K71" s="3">
        <v>7</v>
      </c>
      <c r="L71" s="3">
        <v>8</v>
      </c>
    </row>
    <row r="72" spans="2:12" ht="12.75" customHeight="1" x14ac:dyDescent="0.2">
      <c r="B72" s="32"/>
      <c r="C72" s="32"/>
      <c r="D72" s="32"/>
      <c r="E72" s="32"/>
      <c r="F72" s="33" t="s">
        <v>76</v>
      </c>
      <c r="G72" s="34"/>
      <c r="H72" s="34"/>
      <c r="I72" s="34"/>
      <c r="J72" s="34"/>
      <c r="K72" s="34"/>
      <c r="L72" s="35"/>
    </row>
    <row r="73" spans="2:12" ht="33.75" customHeight="1" x14ac:dyDescent="0.2">
      <c r="B73" s="53" t="s">
        <v>53</v>
      </c>
      <c r="C73" s="54"/>
      <c r="D73" s="54"/>
      <c r="E73" s="55"/>
      <c r="F73" s="26">
        <f>506845310.91</f>
        <v>506845310.91000003</v>
      </c>
      <c r="G73" s="26">
        <f>266378265.27</f>
        <v>266378265.27000001</v>
      </c>
      <c r="H73" s="26">
        <f>32175570</f>
        <v>32175570</v>
      </c>
      <c r="I73" s="26">
        <f>26583926.55</f>
        <v>26583926.550000001</v>
      </c>
      <c r="J73" s="26">
        <f>184456965.91</f>
        <v>184456965.91</v>
      </c>
      <c r="K73" s="26">
        <f>23161802.81</f>
        <v>23161802.809999999</v>
      </c>
      <c r="L73" s="26">
        <f>240467045.64</f>
        <v>240467045.63999999</v>
      </c>
    </row>
    <row r="74" spans="2:12" ht="33.75" customHeight="1" x14ac:dyDescent="0.2">
      <c r="B74" s="53" t="s">
        <v>54</v>
      </c>
      <c r="C74" s="54"/>
      <c r="D74" s="54"/>
      <c r="E74" s="55"/>
      <c r="F74" s="26">
        <f>640000</f>
        <v>640000</v>
      </c>
      <c r="G74" s="26">
        <f>0</f>
        <v>0</v>
      </c>
      <c r="H74" s="26">
        <f>0</f>
        <v>0</v>
      </c>
      <c r="I74" s="26">
        <f>0</f>
        <v>0</v>
      </c>
      <c r="J74" s="26">
        <f>0</f>
        <v>0</v>
      </c>
      <c r="K74" s="26">
        <f>0</f>
        <v>0</v>
      </c>
      <c r="L74" s="26">
        <f>640000</f>
        <v>640000</v>
      </c>
    </row>
    <row r="75" spans="2:12" ht="33.75" customHeight="1" x14ac:dyDescent="0.2">
      <c r="B75" s="53" t="s">
        <v>55</v>
      </c>
      <c r="C75" s="54"/>
      <c r="D75" s="54"/>
      <c r="E75" s="55"/>
      <c r="F75" s="26">
        <f>60349237.66</f>
        <v>60349237.659999996</v>
      </c>
      <c r="G75" s="26">
        <f>8432336.09</f>
        <v>8432336.0899999999</v>
      </c>
      <c r="H75" s="26">
        <f>0</f>
        <v>0</v>
      </c>
      <c r="I75" s="26">
        <f>0</f>
        <v>0</v>
      </c>
      <c r="J75" s="26">
        <f>8432336.09</f>
        <v>8432336.0899999999</v>
      </c>
      <c r="K75" s="26">
        <f>0</f>
        <v>0</v>
      </c>
      <c r="L75" s="26">
        <f>51916901.57</f>
        <v>51916901.57</v>
      </c>
    </row>
    <row r="76" spans="2:12" ht="22.5" customHeight="1" x14ac:dyDescent="0.2">
      <c r="B76" s="53" t="s">
        <v>56</v>
      </c>
      <c r="C76" s="54"/>
      <c r="D76" s="54"/>
      <c r="E76" s="55"/>
      <c r="F76" s="26">
        <f>44842399.5</f>
        <v>44842399.5</v>
      </c>
      <c r="G76" s="26">
        <f>14983503.86</f>
        <v>14983503.859999999</v>
      </c>
      <c r="H76" s="26">
        <f>0</f>
        <v>0</v>
      </c>
      <c r="I76" s="26">
        <f>0</f>
        <v>0</v>
      </c>
      <c r="J76" s="26">
        <f>14983503.86</f>
        <v>14983503.859999999</v>
      </c>
      <c r="K76" s="26">
        <f>0</f>
        <v>0</v>
      </c>
      <c r="L76" s="26">
        <f>29858895.64</f>
        <v>29858895.640000001</v>
      </c>
    </row>
    <row r="77" spans="2:12" ht="33.75" customHeight="1" x14ac:dyDescent="0.2">
      <c r="B77" s="53" t="s">
        <v>57</v>
      </c>
      <c r="C77" s="54"/>
      <c r="D77" s="54"/>
      <c r="E77" s="55"/>
      <c r="F77" s="26">
        <f>11310680.36</f>
        <v>11310680.359999999</v>
      </c>
      <c r="G77" s="26">
        <f>11310680.36</f>
        <v>11310680.359999999</v>
      </c>
      <c r="H77" s="26">
        <f>0</f>
        <v>0</v>
      </c>
      <c r="I77" s="26">
        <f>0</f>
        <v>0</v>
      </c>
      <c r="J77" s="26">
        <f>11310680.36</f>
        <v>11310680.359999999</v>
      </c>
      <c r="K77" s="26">
        <f>0</f>
        <v>0</v>
      </c>
      <c r="L77" s="26">
        <f>0</f>
        <v>0</v>
      </c>
    </row>
    <row r="78" spans="2:12" ht="33.75" customHeight="1" x14ac:dyDescent="0.2">
      <c r="B78" s="53" t="s">
        <v>58</v>
      </c>
      <c r="C78" s="54"/>
      <c r="D78" s="54"/>
      <c r="E78" s="55"/>
      <c r="F78" s="26">
        <f>993336.32</f>
        <v>993336.31999999995</v>
      </c>
      <c r="G78" s="26">
        <f>533336.32</f>
        <v>533336.31999999995</v>
      </c>
      <c r="H78" s="26">
        <f>0</f>
        <v>0</v>
      </c>
      <c r="I78" s="26">
        <f>0</f>
        <v>0</v>
      </c>
      <c r="J78" s="26">
        <f>533336.32</f>
        <v>533336.31999999995</v>
      </c>
      <c r="K78" s="26">
        <f>0</f>
        <v>0</v>
      </c>
      <c r="L78" s="26">
        <f>460000</f>
        <v>460000</v>
      </c>
    </row>
    <row r="79" spans="2:12" ht="22.5" customHeight="1" x14ac:dyDescent="0.2">
      <c r="B79" s="53" t="s">
        <v>59</v>
      </c>
      <c r="C79" s="54"/>
      <c r="D79" s="54"/>
      <c r="E79" s="55"/>
      <c r="F79" s="26">
        <f>1210325.47</f>
        <v>1210325.47</v>
      </c>
      <c r="G79" s="26">
        <f>1210325.47</f>
        <v>1210325.47</v>
      </c>
      <c r="H79" s="26">
        <f>0</f>
        <v>0</v>
      </c>
      <c r="I79" s="26">
        <f>0</f>
        <v>0</v>
      </c>
      <c r="J79" s="26">
        <f>1210325.47</f>
        <v>1210325.47</v>
      </c>
      <c r="K79" s="26">
        <f>0</f>
        <v>0</v>
      </c>
      <c r="L79" s="26">
        <f>0</f>
        <v>0</v>
      </c>
    </row>
    <row r="82" spans="1:13" ht="75" customHeight="1" x14ac:dyDescent="0.2">
      <c r="A82" s="47" t="str">
        <f>CONCATENATE("Informacja z wykonania budżetów powiatów za   ",$C$90," ",$B$91," roku    ",$B$93,"")</f>
        <v xml:space="preserve">Informacja z wykonania budżetów powiatów za   IV Kwartały 2023 roku    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</row>
    <row r="83" spans="1:13" ht="13.5" customHeight="1" x14ac:dyDescent="0.2">
      <c r="B83" s="4"/>
    </row>
    <row r="84" spans="1:13" ht="13.5" customHeight="1" x14ac:dyDescent="0.2">
      <c r="B84" s="5"/>
      <c r="C84" s="33"/>
      <c r="D84" s="60"/>
      <c r="E84" s="60"/>
      <c r="F84" s="61"/>
      <c r="G84" s="33" t="s">
        <v>3</v>
      </c>
      <c r="H84" s="61"/>
      <c r="I84" s="33" t="s">
        <v>4</v>
      </c>
      <c r="J84" s="61"/>
      <c r="K84" s="5"/>
    </row>
    <row r="85" spans="1:13" ht="13.5" customHeight="1" x14ac:dyDescent="0.2">
      <c r="B85" s="6"/>
      <c r="C85" s="66" t="s">
        <v>5</v>
      </c>
      <c r="D85" s="67"/>
      <c r="E85" s="67"/>
      <c r="F85" s="68"/>
      <c r="G85" s="62">
        <f>86</f>
        <v>86</v>
      </c>
      <c r="H85" s="63"/>
      <c r="I85" s="64">
        <f>423489405.3</f>
        <v>423489405.30000001</v>
      </c>
      <c r="J85" s="65"/>
      <c r="K85" s="7"/>
    </row>
    <row r="86" spans="1:13" ht="13.5" customHeight="1" x14ac:dyDescent="0.2">
      <c r="B86" s="6"/>
      <c r="C86" s="69" t="s">
        <v>6</v>
      </c>
      <c r="D86" s="70"/>
      <c r="E86" s="70"/>
      <c r="F86" s="71"/>
      <c r="G86" s="72">
        <f>228</f>
        <v>228</v>
      </c>
      <c r="H86" s="73"/>
      <c r="I86" s="74">
        <f>-1984185171.83</f>
        <v>-1984185171.8299999</v>
      </c>
      <c r="J86" s="75"/>
      <c r="K86" s="7"/>
    </row>
    <row r="87" spans="1:13" ht="13.5" customHeight="1" x14ac:dyDescent="0.2">
      <c r="B87" s="6"/>
      <c r="C87" s="66" t="s">
        <v>7</v>
      </c>
      <c r="D87" s="67"/>
      <c r="E87" s="67"/>
      <c r="F87" s="68"/>
      <c r="G87" s="62">
        <f>0</f>
        <v>0</v>
      </c>
      <c r="H87" s="63"/>
      <c r="I87" s="64">
        <f>0</f>
        <v>0</v>
      </c>
      <c r="J87" s="65"/>
      <c r="K87" s="7"/>
    </row>
    <row r="90" spans="1:13" ht="13.5" customHeight="1" x14ac:dyDescent="0.2">
      <c r="A90" s="8" t="s">
        <v>8</v>
      </c>
      <c r="B90" s="8">
        <f>4</f>
        <v>4</v>
      </c>
      <c r="C90" s="8" t="str">
        <f>IF(B90=1,"I Kwartał",IF(B90=2,"II Kwartały",IF(B90=3,"III Kwartały",IF(B90=4,"IV Kwartały","-"))))</f>
        <v>IV Kwartały</v>
      </c>
    </row>
    <row r="91" spans="1:13" ht="13.5" customHeight="1" x14ac:dyDescent="0.2">
      <c r="A91" s="8" t="s">
        <v>9</v>
      </c>
      <c r="B91" s="8">
        <f>2023</f>
        <v>2023</v>
      </c>
      <c r="C91" s="9"/>
    </row>
    <row r="92" spans="1:13" ht="13.5" customHeight="1" x14ac:dyDescent="0.2">
      <c r="A92" s="8" t="s">
        <v>10</v>
      </c>
      <c r="B92" s="10" t="str">
        <f>"Mar 15 2024 12:00AM"</f>
        <v>Mar 15 2024 12:00AM</v>
      </c>
      <c r="C92" s="9"/>
    </row>
    <row r="93" spans="1:13" ht="13.5" customHeight="1" x14ac:dyDescent="0.2">
      <c r="A93" s="14" t="s">
        <v>75</v>
      </c>
      <c r="B93" s="10" t="str">
        <f>""</f>
        <v/>
      </c>
    </row>
  </sheetData>
  <mergeCells count="79">
    <mergeCell ref="O6:Q6"/>
    <mergeCell ref="O7:O10"/>
    <mergeCell ref="A63:M63"/>
    <mergeCell ref="L32:L35"/>
    <mergeCell ref="P32:P35"/>
    <mergeCell ref="Q32:Q35"/>
    <mergeCell ref="N32:N35"/>
    <mergeCell ref="O32:O35"/>
    <mergeCell ref="D32:D35"/>
    <mergeCell ref="H7:H10"/>
    <mergeCell ref="B78:E78"/>
    <mergeCell ref="I85:J85"/>
    <mergeCell ref="B64:M64"/>
    <mergeCell ref="I84:J84"/>
    <mergeCell ref="B72:E72"/>
    <mergeCell ref="B66:E70"/>
    <mergeCell ref="B79:E79"/>
    <mergeCell ref="A82:M82"/>
    <mergeCell ref="B75:E75"/>
    <mergeCell ref="B76:E76"/>
    <mergeCell ref="G87:H87"/>
    <mergeCell ref="I87:J87"/>
    <mergeCell ref="C84:F84"/>
    <mergeCell ref="C85:F85"/>
    <mergeCell ref="C86:F86"/>
    <mergeCell ref="C87:F87"/>
    <mergeCell ref="G85:H85"/>
    <mergeCell ref="G84:H84"/>
    <mergeCell ref="G86:H86"/>
    <mergeCell ref="I86:J86"/>
    <mergeCell ref="B77:E77"/>
    <mergeCell ref="B74:E74"/>
    <mergeCell ref="M32:M35"/>
    <mergeCell ref="B73:E73"/>
    <mergeCell ref="F66:F70"/>
    <mergeCell ref="G67:G70"/>
    <mergeCell ref="G66:L66"/>
    <mergeCell ref="A1:M1"/>
    <mergeCell ref="C5:M5"/>
    <mergeCell ref="A3:M3"/>
    <mergeCell ref="K7:K10"/>
    <mergeCell ref="C7:C10"/>
    <mergeCell ref="B6:B10"/>
    <mergeCell ref="A6:A10"/>
    <mergeCell ref="C6:N6"/>
    <mergeCell ref="D7:D10"/>
    <mergeCell ref="E7:E10"/>
    <mergeCell ref="Q7:Q10"/>
    <mergeCell ref="C31:N31"/>
    <mergeCell ref="L7:L10"/>
    <mergeCell ref="M7:M10"/>
    <mergeCell ref="N7:N10"/>
    <mergeCell ref="P7:P10"/>
    <mergeCell ref="A27:M27"/>
    <mergeCell ref="O31:Q31"/>
    <mergeCell ref="A29:M29"/>
    <mergeCell ref="G7:G10"/>
    <mergeCell ref="F7:F10"/>
    <mergeCell ref="I7:I10"/>
    <mergeCell ref="J7:J10"/>
    <mergeCell ref="A31:A35"/>
    <mergeCell ref="C32:C35"/>
    <mergeCell ref="E32:E35"/>
    <mergeCell ref="B31:B35"/>
    <mergeCell ref="K67:K70"/>
    <mergeCell ref="H67:H70"/>
    <mergeCell ref="I67:I70"/>
    <mergeCell ref="J67:J70"/>
    <mergeCell ref="B12:Q12"/>
    <mergeCell ref="B37:Q37"/>
    <mergeCell ref="B71:E71"/>
    <mergeCell ref="F72:L72"/>
    <mergeCell ref="L67:L70"/>
    <mergeCell ref="F32:F35"/>
    <mergeCell ref="G32:G35"/>
    <mergeCell ref="H32:H35"/>
    <mergeCell ref="K32:K35"/>
    <mergeCell ref="I32:I35"/>
    <mergeCell ref="J32:J35"/>
  </mergeCells>
  <phoneticPr fontId="4" type="noConversion"/>
  <pageMargins left="0.19685039370078741" right="0.19685039370078741" top="0.19685039370078741" bottom="0.19685039370078741" header="0" footer="0"/>
  <pageSetup paperSize="9" scale="69" orientation="landscape" useFirstPageNumber="1" horizontalDpi="300" verticalDpi="300" r:id="rId1"/>
  <headerFooter alignWithMargins="0">
    <oddFooter>&amp;L&amp;D&amp;Rstrona &amp;P z 3</oddFooter>
  </headerFooter>
  <rowBreaks count="2" manualBreakCount="2">
    <brk id="26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2009-11-20T13:10:55Z</cp:lastPrinted>
  <dcterms:created xsi:type="dcterms:W3CDTF">2001-05-17T08:58:03Z</dcterms:created>
  <dcterms:modified xsi:type="dcterms:W3CDTF">2024-03-27T08:59:52Z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2024-03-27T09:59:49.8140710+01:00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GRN-a8ab1d78-5ad2-435f-b9c5-d3ce5c9321a5</vt:lpwstr>
  </property>
  <property fmtid="{D5CDD505-2E9C-101B-9397-08002B2CF9AE}" pid="7" name="MFHash">
    <vt:lpwstr>2/7UdPkwDD4MP7G88xDS3Bm33+iQg5MrhPXM4+P2kUI=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