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'doch_wyd'!$A$1:$M$110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6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<sst xmlns="http://schemas.openxmlformats.org/spreadsheetml/2006/main" count="262" uniqueCount="108">
  <si>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</si>
  <si>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</si>
  <si>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</si>
  <si>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</si>
  <si>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</si>
  <si>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</si>
  <si>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</si>
  <si>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</si>
  <si>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</si>
  <si>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</si>
  <si>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</si>
  <si>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</si>
  <si>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</si>
  <si>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</si>
  <si>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</si>
  <si>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</si>
  <si>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</si>
  <si>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</si>
  <si>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</si>
  <si>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dochodowy od osób fizycznych </t>
  </si>
  <si>
    <t xml:space="preserve">podatek rolny  </t>
  </si>
  <si>
    <t xml:space="preserve">podatek od nieruchomości </t>
  </si>
  <si>
    <t xml:space="preserve">podatek leśny        </t>
  </si>
  <si>
    <t>podatek od środków transportowych</t>
  </si>
  <si>
    <t>dochody z majątku</t>
  </si>
  <si>
    <t xml:space="preserve">pozostałe dochody </t>
  </si>
  <si>
    <t>Struktura</t>
  </si>
  <si>
    <t>Wskaźnik</t>
  </si>
  <si>
    <t xml:space="preserve">podatek od spadków i darowizn       </t>
  </si>
  <si>
    <t>podatek od czynności cywilnoprawnych</t>
  </si>
  <si>
    <t xml:space="preserve">wpływy z opłaty skarbowej        </t>
  </si>
  <si>
    <t>wpływy z opłaty eksploatacyjnej</t>
  </si>
  <si>
    <t>wpływy z opłaty targowej</t>
  </si>
  <si>
    <t>inne cele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</si>
  <si>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</si>
  <si>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</si>
  <si>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</si>
  <si>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</si>
  <si>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</si>
  <si>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</si>
  <si>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r>
      <t xml:space="preserve">Obniżenie górnych stawek podatkowych
</t>
    </r>
    <r>
      <rPr>
        <b/>
        <sz val="10"/>
        <color indexed="8"/>
        <rFont val="Arial"/>
        <family val="2"/>
      </rPr>
      <t>R7</t>
    </r>
  </si>
  <si>
    <r>
      <t xml:space="preserve">Ulgi i zwolnienia
</t>
    </r>
    <r>
      <rPr>
        <b/>
        <sz val="10"/>
        <color indexed="8"/>
        <rFont val="Arial"/>
        <family val="2"/>
      </rPr>
      <t>R8</t>
    </r>
  </si>
  <si>
    <r>
      <t xml:space="preserve">Umorzenie zaległości podatkowych
</t>
    </r>
    <r>
      <rPr>
        <b/>
        <sz val="10"/>
        <color indexed="8"/>
        <rFont val="Arial"/>
        <family val="2"/>
      </rPr>
      <t>R11Z</t>
    </r>
  </si>
  <si>
    <r>
      <t xml:space="preserve">Rozłożenie na raty, odroczenie terminu płatności
</t>
    </r>
    <r>
      <rPr>
        <b/>
        <sz val="10"/>
        <color indexed="8"/>
        <rFont val="Arial"/>
        <family val="2"/>
      </rPr>
      <t>R11R</t>
    </r>
  </si>
  <si>
    <r>
      <t xml:space="preserve">Potrącenia 
</t>
    </r>
    <r>
      <rPr>
        <b/>
        <sz val="10"/>
        <color indexed="8"/>
        <rFont val="Arial"/>
        <family val="2"/>
      </rPr>
      <t>R3</t>
    </r>
  </si>
  <si>
    <t>uzupełnienie subwencji ogólnej</t>
  </si>
  <si>
    <t xml:space="preserve">podatek od dział. gosp. osób fizycznych, opłacany w formie karty podatkowej </t>
  </si>
  <si>
    <t>część równoważąca</t>
  </si>
  <si>
    <t>część rekompensująca</t>
  </si>
  <si>
    <t>część oświatowa</t>
  </si>
  <si>
    <t>część wyrównawcza</t>
  </si>
  <si>
    <t>pozostałe wydatki</t>
  </si>
  <si>
    <t>wydatki na obsługę długu</t>
  </si>
  <si>
    <t>dotacje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</si>
  <si>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</si>
  <si>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</si>
  <si>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</si>
  <si>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</si>
  <si>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</si>
  <si>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</si>
  <si>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część regionalna</t>
  </si>
  <si>
    <t>#</t>
  </si>
  <si>
    <t>Razem dochody własne 
z tego: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</si>
  <si>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</si>
  <si>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</si>
  <si>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</si>
  <si>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</si>
  <si>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</si>
  <si>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</si>
  <si>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kwartał</t>
  </si>
  <si>
    <t>rok</t>
  </si>
  <si>
    <t>stanNa</t>
  </si>
  <si>
    <t>wydatki z tytułu udzielania poręczeń i gwarancji</t>
  </si>
  <si>
    <t>Dotacje ogółem                  z tego:</t>
  </si>
  <si>
    <t>świadczenia na rzecz osób fizycznych</t>
  </si>
  <si>
    <r>
      <t xml:space="preserve">Dotacje </t>
    </r>
    <r>
      <rPr>
        <b/>
        <sz val="10"/>
        <color indexed="8"/>
        <rFont val="Arial"/>
        <family val="0"/>
      </rPr>
      <t>§§ 200 i 620</t>
    </r>
  </si>
  <si>
    <r>
      <t xml:space="preserve">w tym: inwestycyjne </t>
    </r>
    <r>
      <rPr>
        <sz val="8"/>
        <color indexed="8"/>
        <rFont val="Arial"/>
        <family val="0"/>
      </rPr>
      <t>§</t>
    </r>
    <r>
      <rPr>
        <sz val="8"/>
        <color indexed="8"/>
        <rFont val="Arial"/>
        <family val="2"/>
      </rPr>
      <t xml:space="preserve"> 620</t>
    </r>
  </si>
  <si>
    <t>UE</t>
  </si>
  <si>
    <t>WYDATKI OGÓŁEM UE
z tego:</t>
  </si>
  <si>
    <t>majątkowe</t>
  </si>
  <si>
    <t>bieżące</t>
  </si>
  <si>
    <t>wydatki majątkowe</t>
  </si>
  <si>
    <t>wydatki bieżące</t>
  </si>
  <si>
    <t>Dochody bieżące 
minus 
wydatki bieżące</t>
  </si>
  <si>
    <t>w złotych</t>
  </si>
  <si>
    <t>z tytułu pomocy finansowej udzielanej między jst na dofinansowanie własnych zadań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</si>
  <si>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</si>
  <si>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</si>
  <si>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</si>
  <si>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</si>
  <si>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</si>
  <si>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</si>
  <si>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</si>
  <si>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r>
      <t xml:space="preserve">Dotacje </t>
    </r>
    <r>
      <rPr>
        <b/>
        <sz val="10"/>
        <color indexed="8"/>
        <rFont val="Arial"/>
        <family val="0"/>
      </rPr>
      <t>§§ 205 i 625</t>
    </r>
  </si>
  <si>
    <r>
      <t xml:space="preserve">w tym: inwestycyjne </t>
    </r>
    <r>
      <rPr>
        <sz val="8"/>
        <color indexed="8"/>
        <rFont val="Arial"/>
        <family val="0"/>
      </rPr>
      <t>§</t>
    </r>
    <r>
      <rPr>
        <sz val="8"/>
        <color indexed="8"/>
        <rFont val="Arial"/>
        <family val="2"/>
      </rPr>
      <t xml:space="preserve"> 625</t>
    </r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</si>
  <si>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</si>
  <si>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</si>
  <si>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</si>
  <si>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</si>
  <si>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</si>
  <si>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</si>
  <si>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wolne środki , o których mowa w art. 217 ust.2 pkt 6 ustawy o finansach publicznych</t>
  </si>
  <si>
    <t>spłaty kredytów i pożyczek, wykup papierów wartościowych w tym:</t>
  </si>
  <si>
    <t>wykup papierów wartościowych</t>
  </si>
  <si>
    <t xml:space="preserve"> udzielone pożyczki</t>
  </si>
  <si>
    <t>wydatki na wynagrodzenia i pochodne od wynagrodzeń</t>
  </si>
  <si>
    <t>niewykorzystane środki pienężne o których mowa w art.217 ust.2 pkt.8 ustawy o finansach publicznych</t>
  </si>
  <si>
    <t>otrzymane ze środków z Funduszu Przeciwdziałania COVID-19 (m.in.. z Rządowego Funduszu Inwestycji Lokalnych)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</si>
</sst>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dd/mm/yy\ h:mm;@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6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22" borderId="0" applyNumberFormat="0" applyBorder="0" applyAlignment="0" applyProtection="0"/>
    <xf numFmtId="0" fontId="18" fillId="6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19" fillId="39" borderId="0" applyNumberFormat="0" applyBorder="0" applyAlignment="0" applyProtection="0"/>
    <xf numFmtId="0" fontId="20" fillId="40" borderId="1" applyNumberFormat="0" applyAlignment="0" applyProtection="0"/>
    <xf numFmtId="0" fontId="21" fillId="41" borderId="2" applyNumberFormat="0" applyAlignment="0" applyProtection="0"/>
    <xf numFmtId="0" fontId="51" fillId="42" borderId="3" applyNumberFormat="0" applyAlignment="0" applyProtection="0"/>
    <xf numFmtId="0" fontId="52" fillId="43" borderId="4" applyNumberFormat="0" applyAlignment="0" applyProtection="0"/>
    <xf numFmtId="0" fontId="53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5" borderId="0" applyNumberFormat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6" borderId="1" applyNumberFormat="0" applyAlignment="0" applyProtection="0"/>
    <xf numFmtId="0" fontId="54" fillId="0" borderId="8" applyNumberFormat="0" applyFill="0" applyAlignment="0" applyProtection="0"/>
    <xf numFmtId="0" fontId="55" fillId="46" borderId="9" applyNumberFormat="0" applyAlignment="0" applyProtection="0"/>
    <xf numFmtId="0" fontId="28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59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0" borderId="0">
      <alignment/>
      <protection/>
    </xf>
    <xf numFmtId="0" fontId="0" fillId="4" borderId="14" applyNumberFormat="0" applyFont="0" applyAlignment="0" applyProtection="0"/>
    <xf numFmtId="0" fontId="0" fillId="4" borderId="14" applyNumberFormat="0" applyFont="0" applyAlignment="0" applyProtection="0"/>
    <xf numFmtId="0" fontId="61" fillId="43" borderId="3" applyNumberFormat="0" applyAlignment="0" applyProtection="0"/>
    <xf numFmtId="0" fontId="2" fillId="0" borderId="0" applyNumberFormat="0" applyFill="0" applyBorder="0" applyAlignment="0" applyProtection="0"/>
    <xf numFmtId="0" fontId="30" fillId="40" borderId="15" applyNumberFormat="0" applyAlignment="0" applyProtection="0"/>
    <xf numFmtId="9" fontId="0" fillId="0" borderId="0" applyFont="0" applyFill="0" applyBorder="0" applyAlignment="0" applyProtection="0"/>
    <xf numFmtId="0" fontId="62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65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6" fillId="49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8" fillId="40" borderId="19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4" fontId="5" fillId="0" borderId="19" xfId="0" applyNumberFormat="1" applyFont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4" fontId="14" fillId="40" borderId="19" xfId="0" applyNumberFormat="1" applyFont="1" applyFill="1" applyBorder="1" applyAlignment="1">
      <alignment horizontal="right" vertical="center"/>
    </xf>
    <xf numFmtId="4" fontId="14" fillId="40" borderId="19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5" fillId="0" borderId="19" xfId="0" applyFont="1" applyBorder="1" applyAlignment="1">
      <alignment horizontal="left" vertical="center" wrapText="1" indent="2"/>
    </xf>
    <xf numFmtId="0" fontId="7" fillId="0" borderId="19" xfId="0" applyFont="1" applyFill="1" applyBorder="1" applyAlignment="1">
      <alignment horizontal="left" vertical="center" wrapText="1" indent="1"/>
    </xf>
    <xf numFmtId="0" fontId="3" fillId="0" borderId="19" xfId="0" applyFont="1" applyBorder="1" applyAlignment="1">
      <alignment/>
    </xf>
    <xf numFmtId="168" fontId="3" fillId="0" borderId="19" xfId="0" applyNumberFormat="1" applyFont="1" applyBorder="1" applyAlignment="1">
      <alignment/>
    </xf>
    <xf numFmtId="164" fontId="14" fillId="40" borderId="19" xfId="0" applyNumberFormat="1" applyFont="1" applyFill="1" applyBorder="1" applyAlignment="1">
      <alignment horizontal="right" vertical="center"/>
    </xf>
    <xf numFmtId="164" fontId="5" fillId="0" borderId="19" xfId="0" applyNumberFormat="1" applyFont="1" applyFill="1" applyBorder="1" applyAlignment="1">
      <alignment horizontal="right" vertical="center"/>
    </xf>
    <xf numFmtId="164" fontId="7" fillId="0" borderId="19" xfId="0" applyNumberFormat="1" applyFont="1" applyFill="1" applyBorder="1" applyAlignment="1">
      <alignment horizontal="right" vertical="center"/>
    </xf>
    <xf numFmtId="164" fontId="12" fillId="40" borderId="19" xfId="0" applyNumberFormat="1" applyFont="1" applyFill="1" applyBorder="1" applyAlignment="1">
      <alignment horizontal="right" vertical="center"/>
    </xf>
    <xf numFmtId="164" fontId="7" fillId="0" borderId="19" xfId="0" applyNumberFormat="1" applyFont="1" applyBorder="1" applyAlignment="1">
      <alignment horizontal="right" vertical="center"/>
    </xf>
    <xf numFmtId="0" fontId="7" fillId="50" borderId="19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11" fillId="40" borderId="19" xfId="0" applyFont="1" applyFill="1" applyBorder="1" applyAlignment="1">
      <alignment horizontal="left" vertical="center" wrapText="1"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 wrapText="1"/>
    </xf>
    <xf numFmtId="164" fontId="12" fillId="40" borderId="19" xfId="72" applyNumberFormat="1" applyFont="1" applyFill="1" applyBorder="1" applyAlignment="1">
      <alignment horizontal="right" vertic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4" fontId="12" fillId="40" borderId="20" xfId="0" applyNumberFormat="1" applyFont="1" applyFill="1" applyBorder="1" applyAlignment="1">
      <alignment horizontal="right" vertical="center"/>
    </xf>
    <xf numFmtId="4" fontId="12" fillId="40" borderId="21" xfId="0" applyNumberFormat="1" applyFont="1" applyFill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4" fontId="7" fillId="0" borderId="21" xfId="0" applyNumberFormat="1" applyFont="1" applyBorder="1" applyAlignment="1">
      <alignment horizontal="right" vertical="center"/>
    </xf>
    <xf numFmtId="4" fontId="7" fillId="40" borderId="21" xfId="0" applyNumberFormat="1" applyFont="1" applyFill="1" applyBorder="1" applyAlignment="1">
      <alignment horizontal="right" vertical="center"/>
    </xf>
    <xf numFmtId="4" fontId="7" fillId="50" borderId="21" xfId="0" applyNumberFormat="1" applyFont="1" applyFill="1" applyBorder="1" applyAlignment="1">
      <alignment horizontal="right" vertical="center"/>
    </xf>
    <xf numFmtId="0" fontId="67" fillId="0" borderId="19" xfId="91" applyFont="1" applyBorder="1" applyAlignment="1">
      <alignment horizontal="left" vertical="center" wrapText="1"/>
      <protection/>
    </xf>
    <xf numFmtId="4" fontId="7" fillId="40" borderId="20" xfId="0" applyNumberFormat="1" applyFont="1" applyFill="1" applyBorder="1" applyAlignment="1">
      <alignment horizontal="right" vertical="center"/>
    </xf>
    <xf numFmtId="4" fontId="7" fillId="51" borderId="21" xfId="0" applyNumberFormat="1" applyFont="1" applyFill="1" applyBorder="1" applyAlignment="1">
      <alignment horizontal="right" vertical="center"/>
    </xf>
    <xf numFmtId="4" fontId="7" fillId="51" borderId="20" xfId="0" applyNumberFormat="1" applyFont="1" applyFill="1" applyBorder="1" applyAlignment="1">
      <alignment horizontal="right" vertical="center"/>
    </xf>
    <xf numFmtId="4" fontId="12" fillId="52" borderId="20" xfId="0" applyNumberFormat="1" applyFont="1" applyFill="1" applyBorder="1" applyAlignment="1">
      <alignment horizontal="right" vertical="center"/>
    </xf>
    <xf numFmtId="4" fontId="12" fillId="52" borderId="21" xfId="0" applyNumberFormat="1" applyFont="1" applyFill="1" applyBorder="1" applyAlignment="1">
      <alignment horizontal="right" vertical="center"/>
    </xf>
    <xf numFmtId="0" fontId="67" fillId="52" borderId="19" xfId="91" applyFont="1" applyFill="1" applyBorder="1" applyAlignment="1">
      <alignment horizontal="left" vertical="center" wrapText="1"/>
      <protection/>
    </xf>
    <xf numFmtId="164" fontId="12" fillId="51" borderId="19" xfId="72" applyNumberFormat="1" applyFont="1" applyFill="1" applyBorder="1" applyAlignment="1">
      <alignment horizontal="right" vertical="center"/>
    </xf>
    <xf numFmtId="164" fontId="12" fillId="51" borderId="19" xfId="0" applyNumberFormat="1" applyFont="1" applyFill="1" applyBorder="1" applyAlignment="1">
      <alignment horizontal="right" vertical="center"/>
    </xf>
    <xf numFmtId="164" fontId="12" fillId="52" borderId="19" xfId="0" applyNumberFormat="1" applyFont="1" applyFill="1" applyBorder="1" applyAlignment="1">
      <alignment horizontal="right" vertical="center"/>
    </xf>
    <xf numFmtId="0" fontId="11" fillId="40" borderId="19" xfId="0" applyFont="1" applyFill="1" applyBorder="1" applyAlignment="1">
      <alignment horizontal="center" vertical="center" wrapText="1"/>
    </xf>
    <xf numFmtId="4" fontId="12" fillId="40" borderId="19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right" vertical="center"/>
    </xf>
    <xf numFmtId="0" fontId="11" fillId="0" borderId="22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/>
    </xf>
    <xf numFmtId="0" fontId="8" fillId="52" borderId="19" xfId="0" applyFont="1" applyFill="1" applyBorder="1" applyAlignment="1">
      <alignment horizontal="left" vertical="center" wrapText="1"/>
    </xf>
    <xf numFmtId="4" fontId="14" fillId="52" borderId="19" xfId="0" applyNumberFormat="1" applyFont="1" applyFill="1" applyBorder="1" applyAlignment="1">
      <alignment horizontal="right" vertical="center"/>
    </xf>
    <xf numFmtId="164" fontId="14" fillId="52" borderId="19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1"/>
    </xf>
    <xf numFmtId="4" fontId="5" fillId="52" borderId="19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2"/>
    </xf>
    <xf numFmtId="0" fontId="11" fillId="52" borderId="19" xfId="0" applyFont="1" applyFill="1" applyBorder="1" applyAlignment="1">
      <alignment horizontal="left" vertical="center" wrapText="1"/>
    </xf>
    <xf numFmtId="4" fontId="12" fillId="52" borderId="19" xfId="0" applyNumberFormat="1" applyFont="1" applyFill="1" applyBorder="1" applyAlignment="1">
      <alignment horizontal="right" vertical="center"/>
    </xf>
    <xf numFmtId="164" fontId="7" fillId="52" borderId="19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 wrapText="1"/>
    </xf>
    <xf numFmtId="164" fontId="12" fillId="0" borderId="19" xfId="0" applyNumberFormat="1" applyFont="1" applyFill="1" applyBorder="1" applyAlignment="1">
      <alignment horizontal="right" vertical="center"/>
    </xf>
    <xf numFmtId="0" fontId="11" fillId="52" borderId="23" xfId="0" applyFont="1" applyFill="1" applyBorder="1" applyAlignment="1">
      <alignment horizontal="left" vertical="center" wrapText="1"/>
    </xf>
    <xf numFmtId="4" fontId="7" fillId="0" borderId="20" xfId="0" applyNumberFormat="1" applyFont="1" applyFill="1" applyBorder="1" applyAlignment="1">
      <alignment horizontal="right" vertical="center"/>
    </xf>
    <xf numFmtId="4" fontId="7" fillId="0" borderId="21" xfId="0" applyNumberFormat="1" applyFont="1" applyFill="1" applyBorder="1" applyAlignment="1">
      <alignment horizontal="right" vertical="center"/>
    </xf>
    <xf numFmtId="164" fontId="12" fillId="0" borderId="19" xfId="72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center" wrapText="1"/>
    </xf>
    <xf numFmtId="0" fontId="5" fillId="51" borderId="19" xfId="0" applyFont="1" applyFill="1" applyBorder="1" applyAlignment="1">
      <alignment horizontal="left" vertical="center" wrapText="1" indent="1"/>
    </xf>
    <xf numFmtId="0" fontId="7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7" fillId="2" borderId="2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" fontId="5" fillId="0" borderId="19" xfId="0" applyNumberFormat="1" applyFont="1" applyBorder="1" applyAlignment="1">
      <alignment horizontal="right" vertical="center"/>
    </xf>
    <xf numFmtId="4" fontId="5" fillId="29" borderId="19" xfId="0" applyNumberFormat="1" applyFont="1" applyFill="1" applyBorder="1" applyAlignment="1">
      <alignment horizontal="right" vertical="center"/>
    </xf>
    <xf numFmtId="4" fontId="12" fillId="52" borderId="19" xfId="0" applyNumberFormat="1" applyFont="1" applyFill="1" applyBorder="1" applyAlignment="1">
      <alignment horizontal="right" vertical="center"/>
    </xf>
    <xf numFmtId="4" fontId="14" fillId="40" borderId="19" xfId="0" applyNumberFormat="1" applyFont="1" applyFill="1" applyBorder="1" applyAlignment="1">
      <alignment horizontal="right" vertical="center" wrapText="1"/>
    </xf>
    <xf numFmtId="4" fontId="14" fillId="29" borderId="19" xfId="0" applyNumberFormat="1" applyFont="1" applyFill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 wrapText="1"/>
    </xf>
    <xf numFmtId="4" fontId="12" fillId="40" borderId="20" xfId="0" applyNumberFormat="1" applyFont="1" applyFill="1" applyBorder="1" applyAlignment="1">
      <alignment vertical="center" wrapText="1"/>
    </xf>
    <xf numFmtId="4" fontId="12" fillId="40" borderId="21" xfId="0" applyNumberFormat="1" applyFont="1" applyFill="1" applyBorder="1" applyAlignment="1">
      <alignment vertical="center" wrapText="1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Dziesiętny 3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Komórka połączona" xfId="81"/>
    <cellStyle name="Komórka zaznaczona" xfId="82"/>
    <cellStyle name="Linked Cell" xfId="83"/>
    <cellStyle name="Nagłówek 1" xfId="84"/>
    <cellStyle name="Nagłówek 2" xfId="85"/>
    <cellStyle name="Nagłówek 3" xfId="86"/>
    <cellStyle name="Nagłówek 4" xfId="87"/>
    <cellStyle name="Neutral" xfId="88"/>
    <cellStyle name="Neutralny" xfId="89"/>
    <cellStyle name="Normalny 2" xfId="90"/>
    <cellStyle name="Normalny 2 2" xfId="91"/>
    <cellStyle name="Note" xfId="92"/>
    <cellStyle name="Note 2" xfId="93"/>
    <cellStyle name="Obliczenia" xfId="94"/>
    <cellStyle name="Followed Hyperlink" xfId="95"/>
    <cellStyle name="Output" xfId="96"/>
    <cellStyle name="Percent" xfId="97"/>
    <cellStyle name="Suma" xfId="98"/>
    <cellStyle name="Tekst objaśnienia" xfId="99"/>
    <cellStyle name="Tekst ostrzeżenia" xfId="100"/>
    <cellStyle name="Title" xfId="101"/>
    <cellStyle name="Total" xfId="102"/>
    <cellStyle name="Tytuł" xfId="103"/>
    <cellStyle name="Uwaga" xfId="104"/>
    <cellStyle name="Currency" xfId="105"/>
    <cellStyle name="Currency [0]" xfId="106"/>
    <cellStyle name="Warning Text" xfId="107"/>
    <cellStyle name="Zły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110"/>
  <sheetViews>
    <sheetView tabSelected="1" workbookViewId="0" topLeftCell="A1">
      <selection activeCell="B3" sqref="B3:B4"/>
    </sheetView>
  </sheetViews>
  <sheetFormatPr defaultColWidth="9.00390625" defaultRowHeight="12.75"/>
  <cols>
    <col min="1" max="1" width="0.37109375" style="1" customWidth="1"/>
    <col min="2" max="2" width="22.875" style="1" customWidth="1"/>
    <col min="3" max="5" width="14.625" style="1" customWidth="1"/>
    <col min="6" max="6" width="13.875" style="1" customWidth="1"/>
    <col min="7" max="8" width="13.00390625" style="1" customWidth="1"/>
    <col min="9" max="9" width="12.00390625" style="1" customWidth="1"/>
    <col min="10" max="10" width="13.00390625" style="1" customWidth="1"/>
    <col min="11" max="11" width="7.375" style="1" customWidth="1"/>
    <col min="12" max="12" width="7.25390625" style="1" customWidth="1"/>
    <col min="13" max="13" width="8.125" style="1" customWidth="1"/>
    <col min="14" max="16384" width="9.125" style="1" customWidth="1"/>
  </cols>
  <sheetData>
    <row r="1" spans="2:13" ht="62.25" customHeight="1">
      <c r="B1" s="102" t="str">
        <f>CONCATENATE("Informacja z wykonania budżetów jednostek samorządu terytorialnego za ",$D$108," ",$C$109," roku")</f>
        <v>Informacja z wykonania budżetów jednostek samorządu terytorialnego za IV Kwartały 2021 roku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ht="12.75"/>
    <row r="3" spans="2:13" ht="66.75" customHeight="1">
      <c r="B3" s="95" t="s">
        <v>0</v>
      </c>
      <c r="C3" s="15" t="s">
        <v>37</v>
      </c>
      <c r="D3" s="15" t="s">
        <v>38</v>
      </c>
      <c r="E3" s="15" t="s">
        <v>39</v>
      </c>
      <c r="F3" s="15" t="s">
        <v>40</v>
      </c>
      <c r="G3" s="15" t="s">
        <v>41</v>
      </c>
      <c r="H3" s="15" t="s">
        <v>42</v>
      </c>
      <c r="I3" s="15" t="s">
        <v>43</v>
      </c>
      <c r="J3" s="15" t="s">
        <v>44</v>
      </c>
      <c r="K3" s="17" t="s">
        <v>2</v>
      </c>
      <c r="L3" s="15" t="s">
        <v>18</v>
      </c>
      <c r="M3" s="15" t="s">
        <v>3</v>
      </c>
    </row>
    <row r="4" spans="2:13" ht="12.75">
      <c r="B4" s="95"/>
      <c r="C4" s="96" t="s">
        <v>84</v>
      </c>
      <c r="D4" s="96"/>
      <c r="E4" s="96"/>
      <c r="F4" s="96"/>
      <c r="G4" s="96"/>
      <c r="H4" s="96"/>
      <c r="I4" s="96"/>
      <c r="J4" s="96"/>
      <c r="K4" s="96" t="s">
        <v>4</v>
      </c>
      <c r="L4" s="96"/>
      <c r="M4" s="96"/>
    </row>
    <row r="5" spans="2:13" ht="12.75">
      <c r="B5" s="17">
        <v>1</v>
      </c>
      <c r="C5" s="19">
        <v>2</v>
      </c>
      <c r="D5" s="19">
        <v>3</v>
      </c>
      <c r="E5" s="19">
        <v>4</v>
      </c>
      <c r="F5" s="17">
        <v>5</v>
      </c>
      <c r="G5" s="19">
        <v>6</v>
      </c>
      <c r="H5" s="17">
        <v>7</v>
      </c>
      <c r="I5" s="19">
        <v>8</v>
      </c>
      <c r="J5" s="17">
        <v>9</v>
      </c>
      <c r="K5" s="19">
        <v>10</v>
      </c>
      <c r="L5" s="17">
        <v>11</v>
      </c>
      <c r="M5" s="19">
        <v>12</v>
      </c>
    </row>
    <row r="6" spans="2:13" ht="25.5" customHeight="1">
      <c r="B6" s="70" t="s">
        <v>5</v>
      </c>
      <c r="C6" s="71">
        <f>324566985975.13</f>
        <v>324566985975.13</v>
      </c>
      <c r="D6" s="71">
        <f>333409105565.12</f>
        <v>333409105565.12</v>
      </c>
      <c r="E6" s="71">
        <f>331884014489.21</f>
        <v>331884014489.21</v>
      </c>
      <c r="F6" s="71">
        <f>3651937325.13</f>
        <v>3651937325.13</v>
      </c>
      <c r="G6" s="71">
        <f>975057585.51</f>
        <v>975057585.51</v>
      </c>
      <c r="H6" s="71">
        <f>168594119</f>
        <v>168594119</v>
      </c>
      <c r="I6" s="71">
        <f>177656273.29</f>
        <v>177656273.29</v>
      </c>
      <c r="J6" s="71">
        <f>6806259.82</f>
        <v>6806259.82</v>
      </c>
      <c r="K6" s="72">
        <f aca="true" t="shared" si="0" ref="K6:K48">IF($D$6=0,"",100*$D6/$D$6)</f>
        <v>100</v>
      </c>
      <c r="L6" s="72">
        <f aca="true" t="shared" si="1" ref="L6:L52">IF(C6=0,"",100*D6/C6)</f>
        <v>102.72428188080335</v>
      </c>
      <c r="M6" s="72"/>
    </row>
    <row r="7" spans="2:13" ht="38.25" customHeight="1">
      <c r="B7" s="20" t="s">
        <v>62</v>
      </c>
      <c r="C7" s="25">
        <f>C6-C22-C42</f>
        <v>150168866596.72998</v>
      </c>
      <c r="D7" s="25">
        <f>D6-D22-D42</f>
        <v>158619647883.16998</v>
      </c>
      <c r="E7" s="25">
        <f>E6-E22-E42</f>
        <v>157291489975.91003</v>
      </c>
      <c r="F7" s="25">
        <f>F6</f>
        <v>3651937325.13</v>
      </c>
      <c r="G7" s="25">
        <f>G6</f>
        <v>975057585.51</v>
      </c>
      <c r="H7" s="25">
        <f>H6</f>
        <v>168594119</v>
      </c>
      <c r="I7" s="25">
        <f>I6</f>
        <v>177656273.29</v>
      </c>
      <c r="J7" s="25">
        <f>J6</f>
        <v>6806259.82</v>
      </c>
      <c r="K7" s="33">
        <f t="shared" si="0"/>
        <v>47.57507975503959</v>
      </c>
      <c r="L7" s="33">
        <f t="shared" si="1"/>
        <v>105.62751885790954</v>
      </c>
      <c r="M7" s="33">
        <f aca="true" t="shared" si="2" ref="M7:M21">IF($D$7=0,"",100*$D7/$D$7)</f>
        <v>100</v>
      </c>
    </row>
    <row r="8" spans="2:13" ht="32.25" customHeight="1">
      <c r="B8" s="21" t="s">
        <v>35</v>
      </c>
      <c r="C8" s="23">
        <f>12194920232.02</f>
        <v>12194920232.02</v>
      </c>
      <c r="D8" s="23">
        <f>14299975171.87</f>
        <v>14299975171.87</v>
      </c>
      <c r="E8" s="23">
        <f>14293181088.67</f>
        <v>14293181088.67</v>
      </c>
      <c r="F8" s="23">
        <f>0</f>
        <v>0</v>
      </c>
      <c r="G8" s="23">
        <f>0</f>
        <v>0</v>
      </c>
      <c r="H8" s="23">
        <f>0</f>
        <v>0</v>
      </c>
      <c r="I8" s="23">
        <f>0</f>
        <v>0</v>
      </c>
      <c r="J8" s="24">
        <f>0</f>
        <v>0</v>
      </c>
      <c r="K8" s="34">
        <f t="shared" si="0"/>
        <v>4.289017586256951</v>
      </c>
      <c r="L8" s="34">
        <f t="shared" si="1"/>
        <v>117.26173603270313</v>
      </c>
      <c r="M8" s="34">
        <f t="shared" si="2"/>
        <v>9.015260948254362</v>
      </c>
    </row>
    <row r="9" spans="2:13" ht="32.25" customHeight="1">
      <c r="B9" s="21" t="s">
        <v>19</v>
      </c>
      <c r="C9" s="23">
        <f>57882755783.06</f>
        <v>57882755783.06</v>
      </c>
      <c r="D9" s="23">
        <f>62081419900</f>
        <v>62081419900</v>
      </c>
      <c r="E9" s="23">
        <f>60855337570.23</f>
        <v>60855337570.23</v>
      </c>
      <c r="F9" s="23">
        <f>0</f>
        <v>0</v>
      </c>
      <c r="G9" s="23">
        <f>0</f>
        <v>0</v>
      </c>
      <c r="H9" s="23">
        <f>0</f>
        <v>0</v>
      </c>
      <c r="I9" s="23">
        <f>0</f>
        <v>0</v>
      </c>
      <c r="J9" s="24">
        <f>0</f>
        <v>0</v>
      </c>
      <c r="K9" s="34">
        <f t="shared" si="0"/>
        <v>18.620193289194535</v>
      </c>
      <c r="L9" s="34">
        <f t="shared" si="1"/>
        <v>107.2537391493181</v>
      </c>
      <c r="M9" s="34">
        <f t="shared" si="2"/>
        <v>39.13854350863618</v>
      </c>
    </row>
    <row r="10" spans="2:13" ht="32.25" customHeight="1">
      <c r="B10" s="21" t="s">
        <v>20</v>
      </c>
      <c r="C10" s="23">
        <f>1674211542.32</f>
        <v>1674211542.32</v>
      </c>
      <c r="D10" s="23">
        <f>1649122841.54</f>
        <v>1649122841.54</v>
      </c>
      <c r="E10" s="23">
        <f>1647210456.3</f>
        <v>1647210456.3</v>
      </c>
      <c r="F10" s="23">
        <f>143025508.28</f>
        <v>143025508.28</v>
      </c>
      <c r="G10" s="23">
        <f>1015668.52</f>
        <v>1015668.52</v>
      </c>
      <c r="H10" s="23">
        <f>4046893.78</f>
        <v>4046893.78</v>
      </c>
      <c r="I10" s="23">
        <f>803554.08</f>
        <v>803554.08</v>
      </c>
      <c r="J10" s="24">
        <f>2941.26</f>
        <v>2941.26</v>
      </c>
      <c r="K10" s="34">
        <f t="shared" si="0"/>
        <v>0.49462441607429364</v>
      </c>
      <c r="L10" s="34">
        <f t="shared" si="1"/>
        <v>98.50146172417173</v>
      </c>
      <c r="M10" s="34">
        <f t="shared" si="2"/>
        <v>1.0396712283428142</v>
      </c>
    </row>
    <row r="11" spans="2:13" ht="32.25" customHeight="1">
      <c r="B11" s="21" t="s">
        <v>21</v>
      </c>
      <c r="C11" s="23">
        <f>25656450744.08</f>
        <v>25656450744.08</v>
      </c>
      <c r="D11" s="23">
        <f>26117025842.63</f>
        <v>26117025842.63</v>
      </c>
      <c r="E11" s="23">
        <f>26079210282.88</f>
        <v>26079210282.88</v>
      </c>
      <c r="F11" s="23">
        <f>2350729012.82</f>
        <v>2350729012.82</v>
      </c>
      <c r="G11" s="23">
        <f>810972529.61</f>
        <v>810972529.61</v>
      </c>
      <c r="H11" s="23">
        <f>135932053.47</f>
        <v>135932053.47</v>
      </c>
      <c r="I11" s="23">
        <f>145055777.51</f>
        <v>145055777.51</v>
      </c>
      <c r="J11" s="24">
        <f>5112992.5</f>
        <v>5112992.5</v>
      </c>
      <c r="K11" s="34">
        <f t="shared" si="0"/>
        <v>7.833327106757418</v>
      </c>
      <c r="L11" s="34">
        <f t="shared" si="1"/>
        <v>101.79516295197718</v>
      </c>
      <c r="M11" s="34">
        <f t="shared" si="2"/>
        <v>16.465189647795892</v>
      </c>
    </row>
    <row r="12" spans="2:13" ht="32.25" customHeight="1">
      <c r="B12" s="21" t="s">
        <v>22</v>
      </c>
      <c r="C12" s="23">
        <f>307061441.57</f>
        <v>307061441.57</v>
      </c>
      <c r="D12" s="23">
        <f>306470071.61</f>
        <v>306470071.61</v>
      </c>
      <c r="E12" s="23">
        <f>306134835.71</f>
        <v>306134835.71</v>
      </c>
      <c r="F12" s="23">
        <f>929661.6</f>
        <v>929661.6</v>
      </c>
      <c r="G12" s="23">
        <f>608733.57</f>
        <v>608733.57</v>
      </c>
      <c r="H12" s="23">
        <f>190334.82</f>
        <v>190334.82</v>
      </c>
      <c r="I12" s="23">
        <f>5883.71</f>
        <v>5883.71</v>
      </c>
      <c r="J12" s="24">
        <f>274.24</f>
        <v>274.24</v>
      </c>
      <c r="K12" s="34">
        <f t="shared" si="0"/>
        <v>0.09192012650360613</v>
      </c>
      <c r="L12" s="34">
        <f t="shared" si="1"/>
        <v>99.80740989263376</v>
      </c>
      <c r="M12" s="34">
        <f t="shared" si="2"/>
        <v>0.19321066191984493</v>
      </c>
    </row>
    <row r="13" spans="2:13" ht="32.25" customHeight="1">
      <c r="B13" s="21" t="s">
        <v>23</v>
      </c>
      <c r="C13" s="23">
        <f>1239384512.45</f>
        <v>1239384512.45</v>
      </c>
      <c r="D13" s="23">
        <f>1238614545.88</f>
        <v>1238614545.88</v>
      </c>
      <c r="E13" s="23">
        <f>1237306914.65</f>
        <v>1237306914.65</v>
      </c>
      <c r="F13" s="23">
        <f>1148919822.02</f>
        <v>1148919822.02</v>
      </c>
      <c r="G13" s="23">
        <f>4995245.38</f>
        <v>4995245.38</v>
      </c>
      <c r="H13" s="23">
        <f>6618659.55</f>
        <v>6618659.55</v>
      </c>
      <c r="I13" s="23">
        <f>4366514.38</f>
        <v>4366514.38</v>
      </c>
      <c r="J13" s="24">
        <f>32951.5</f>
        <v>32951.5</v>
      </c>
      <c r="K13" s="34">
        <f t="shared" si="0"/>
        <v>0.37149991563085233</v>
      </c>
      <c r="L13" s="34">
        <f t="shared" si="1"/>
        <v>99.93787508539397</v>
      </c>
      <c r="M13" s="34">
        <f t="shared" si="2"/>
        <v>0.7808708204876937</v>
      </c>
    </row>
    <row r="14" spans="2:13" ht="43.5" customHeight="1">
      <c r="B14" s="21" t="s">
        <v>46</v>
      </c>
      <c r="C14" s="23">
        <f>116962155.89</f>
        <v>116962155.89</v>
      </c>
      <c r="D14" s="23">
        <f>184766374.08</f>
        <v>184766374.08</v>
      </c>
      <c r="E14" s="23">
        <f>184655039.31</f>
        <v>184655039.31</v>
      </c>
      <c r="F14" s="23">
        <f>0</f>
        <v>0</v>
      </c>
      <c r="G14" s="23">
        <f>0</f>
        <v>0</v>
      </c>
      <c r="H14" s="23">
        <f>113534.43</f>
        <v>113534.43</v>
      </c>
      <c r="I14" s="23">
        <f>326554.04</f>
        <v>326554.04</v>
      </c>
      <c r="J14" s="24">
        <f>0</f>
        <v>0</v>
      </c>
      <c r="K14" s="34">
        <f t="shared" si="0"/>
        <v>0.05541731494310141</v>
      </c>
      <c r="L14" s="34">
        <f t="shared" si="1"/>
        <v>157.9710742111903</v>
      </c>
      <c r="M14" s="34">
        <f t="shared" si="2"/>
        <v>0.11648391390711457</v>
      </c>
    </row>
    <row r="15" spans="2:13" ht="32.25" customHeight="1">
      <c r="B15" s="21" t="s">
        <v>28</v>
      </c>
      <c r="C15" s="23">
        <f>327771390.75</f>
        <v>327771390.75</v>
      </c>
      <c r="D15" s="23">
        <f>418026345.1</f>
        <v>418026345.1</v>
      </c>
      <c r="E15" s="23">
        <f>416507349.28</f>
        <v>416507349.28</v>
      </c>
      <c r="F15" s="23">
        <f>0</f>
        <v>0</v>
      </c>
      <c r="G15" s="23">
        <f>0</f>
        <v>0</v>
      </c>
      <c r="H15" s="23">
        <f>6263459.94</f>
        <v>6263459.94</v>
      </c>
      <c r="I15" s="23">
        <f>10655341.61</f>
        <v>10655341.61</v>
      </c>
      <c r="J15" s="24">
        <f>0</f>
        <v>0</v>
      </c>
      <c r="K15" s="34">
        <f t="shared" si="0"/>
        <v>0.12537940269851236</v>
      </c>
      <c r="L15" s="34">
        <f t="shared" si="1"/>
        <v>127.53594636294534</v>
      </c>
      <c r="M15" s="34">
        <f t="shared" si="2"/>
        <v>0.26354007884817265</v>
      </c>
    </row>
    <row r="16" spans="2:13" ht="32.25" customHeight="1">
      <c r="B16" s="21" t="s">
        <v>29</v>
      </c>
      <c r="C16" s="23">
        <f>3309158927.61</f>
        <v>3309158927.61</v>
      </c>
      <c r="D16" s="23">
        <f>4482687087.89</f>
        <v>4482687087.89</v>
      </c>
      <c r="E16" s="23">
        <f>4495386714.58</f>
        <v>4495386714.58</v>
      </c>
      <c r="F16" s="23">
        <f>0</f>
        <v>0</v>
      </c>
      <c r="G16" s="23">
        <f>0</f>
        <v>0</v>
      </c>
      <c r="H16" s="23">
        <f>373043.99</f>
        <v>373043.99</v>
      </c>
      <c r="I16" s="23">
        <f>740184.16</f>
        <v>740184.16</v>
      </c>
      <c r="J16" s="24">
        <f>0</f>
        <v>0</v>
      </c>
      <c r="K16" s="34">
        <f t="shared" si="0"/>
        <v>1.3445004989566676</v>
      </c>
      <c r="L16" s="34">
        <f t="shared" si="1"/>
        <v>135.46303414105188</v>
      </c>
      <c r="M16" s="34">
        <f t="shared" si="2"/>
        <v>2.8260604204541466</v>
      </c>
    </row>
    <row r="17" spans="2:13" ht="32.25" customHeight="1">
      <c r="B17" s="21" t="s">
        <v>30</v>
      </c>
      <c r="C17" s="23">
        <f>524063060.15</f>
        <v>524063060.15</v>
      </c>
      <c r="D17" s="23">
        <f>578973629.45</f>
        <v>578973629.45</v>
      </c>
      <c r="E17" s="23">
        <f>578674275.98</f>
        <v>578674275.98</v>
      </c>
      <c r="F17" s="23">
        <f>0</f>
        <v>0</v>
      </c>
      <c r="G17" s="23">
        <f>6150.71</f>
        <v>6150.71</v>
      </c>
      <c r="H17" s="23">
        <f>5865</f>
        <v>5865</v>
      </c>
      <c r="I17" s="23">
        <f>2461.08</f>
        <v>2461.08</v>
      </c>
      <c r="J17" s="24">
        <f>0</f>
        <v>0</v>
      </c>
      <c r="K17" s="34">
        <f t="shared" si="0"/>
        <v>0.1736526146964866</v>
      </c>
      <c r="L17" s="34">
        <f t="shared" si="1"/>
        <v>110.47785533372326</v>
      </c>
      <c r="M17" s="34">
        <f t="shared" si="2"/>
        <v>0.3650075114757778</v>
      </c>
    </row>
    <row r="18" spans="2:13" ht="32.25" customHeight="1">
      <c r="B18" s="21" t="s">
        <v>31</v>
      </c>
      <c r="C18" s="23">
        <f>440496778.69</f>
        <v>440496778.69</v>
      </c>
      <c r="D18" s="23">
        <f>426691728.93</f>
        <v>426691728.93</v>
      </c>
      <c r="E18" s="23">
        <f>426780438.23</f>
        <v>426780438.23</v>
      </c>
      <c r="F18" s="23">
        <f>0</f>
        <v>0</v>
      </c>
      <c r="G18" s="23">
        <f>0</f>
        <v>0</v>
      </c>
      <c r="H18" s="23">
        <f>12465.89</f>
        <v>12465.89</v>
      </c>
      <c r="I18" s="23">
        <f>43142.6</f>
        <v>43142.6</v>
      </c>
      <c r="J18" s="24">
        <f>0</f>
        <v>0</v>
      </c>
      <c r="K18" s="34">
        <f t="shared" si="0"/>
        <v>0.12797842704588655</v>
      </c>
      <c r="L18" s="34">
        <f t="shared" si="1"/>
        <v>96.866027079459</v>
      </c>
      <c r="M18" s="34">
        <f t="shared" si="2"/>
        <v>0.2690030740985356</v>
      </c>
    </row>
    <row r="19" spans="2:13" ht="32.25" customHeight="1">
      <c r="B19" s="21" t="s">
        <v>32</v>
      </c>
      <c r="C19" s="23">
        <f>2481124.48</f>
        <v>2481124.48</v>
      </c>
      <c r="D19" s="23">
        <f>1843571.47</f>
        <v>1843571.47</v>
      </c>
      <c r="E19" s="23">
        <f>1859045.47</f>
        <v>1859045.47</v>
      </c>
      <c r="F19" s="23">
        <f>88537.89</f>
        <v>88537.89</v>
      </c>
      <c r="G19" s="23">
        <f>0</f>
        <v>0</v>
      </c>
      <c r="H19" s="23">
        <f>4682.5</f>
        <v>4682.5</v>
      </c>
      <c r="I19" s="23">
        <f>152067.37</f>
        <v>152067.37</v>
      </c>
      <c r="J19" s="24">
        <f>0</f>
        <v>0</v>
      </c>
      <c r="K19" s="34">
        <f t="shared" si="0"/>
        <v>0.0005529457472000332</v>
      </c>
      <c r="L19" s="34">
        <f t="shared" si="1"/>
        <v>74.30386846209345</v>
      </c>
      <c r="M19" s="34">
        <f t="shared" si="2"/>
        <v>0.0011622592122748044</v>
      </c>
    </row>
    <row r="20" spans="2:13" ht="32.25" customHeight="1">
      <c r="B20" s="21" t="s">
        <v>24</v>
      </c>
      <c r="C20" s="23">
        <f>9900063269.25</f>
        <v>9900063269.25</v>
      </c>
      <c r="D20" s="23">
        <f>10039354024.21</f>
        <v>10039354024.21</v>
      </c>
      <c r="E20" s="23">
        <f>10000365669.52</f>
        <v>10000365669.52</v>
      </c>
      <c r="F20" s="23">
        <f>0</f>
        <v>0</v>
      </c>
      <c r="G20" s="23">
        <f>209934.15</f>
        <v>209934.15</v>
      </c>
      <c r="H20" s="23">
        <f>0</f>
        <v>0</v>
      </c>
      <c r="I20" s="23">
        <f>146085.82</f>
        <v>146085.82</v>
      </c>
      <c r="J20" s="24">
        <f>0</f>
        <v>0</v>
      </c>
      <c r="K20" s="34">
        <f t="shared" si="0"/>
        <v>3.0111217290222316</v>
      </c>
      <c r="L20" s="34">
        <f t="shared" si="1"/>
        <v>101.40696833112816</v>
      </c>
      <c r="M20" s="34">
        <f t="shared" si="2"/>
        <v>6.329199540024451</v>
      </c>
    </row>
    <row r="21" spans="2:13" ht="32.25" customHeight="1">
      <c r="B21" s="21" t="s">
        <v>25</v>
      </c>
      <c r="C21" s="23">
        <f>C7-C8-C9-C10-C11-C12-C13-C14-C15-C16-C17-C18-C19-C20</f>
        <v>36593085634.40998</v>
      </c>
      <c r="D21" s="23">
        <f aca="true" t="shared" si="3" ref="D21:J21">D7-D8-D9-D10-D11-D12-D13-D14-D15-D16-D17-D18-D19-D20</f>
        <v>36794676748.509995</v>
      </c>
      <c r="E21" s="23">
        <f t="shared" si="3"/>
        <v>36768880295.09999</v>
      </c>
      <c r="F21" s="23">
        <f t="shared" si="3"/>
        <v>8244782.519999848</v>
      </c>
      <c r="G21" s="23">
        <f t="shared" si="3"/>
        <v>157249323.57</v>
      </c>
      <c r="H21" s="23">
        <f t="shared" si="3"/>
        <v>15033125.629999997</v>
      </c>
      <c r="I21" s="23">
        <f t="shared" si="3"/>
        <v>15358706.92999999</v>
      </c>
      <c r="J21" s="24">
        <f t="shared" si="3"/>
        <v>1657100.3200000005</v>
      </c>
      <c r="K21" s="34">
        <f t="shared" si="0"/>
        <v>11.035894381511852</v>
      </c>
      <c r="L21" s="34">
        <f t="shared" si="1"/>
        <v>100.55089946804172</v>
      </c>
      <c r="M21" s="34">
        <f t="shared" si="2"/>
        <v>23.19679638654274</v>
      </c>
    </row>
    <row r="22" spans="2:13" ht="36.75" customHeight="1">
      <c r="B22" s="70" t="s">
        <v>73</v>
      </c>
      <c r="C22" s="71">
        <f>C23+C38+C40</f>
        <v>95950319857.62999</v>
      </c>
      <c r="D22" s="71">
        <f>D23+D38+D40</f>
        <v>92471065707.95</v>
      </c>
      <c r="E22" s="71">
        <f>E23+E38+E40</f>
        <v>92503476916.85999</v>
      </c>
      <c r="F22" s="74" t="s">
        <v>61</v>
      </c>
      <c r="G22" s="74" t="s">
        <v>61</v>
      </c>
      <c r="H22" s="74" t="s">
        <v>61</v>
      </c>
      <c r="I22" s="74" t="s">
        <v>61</v>
      </c>
      <c r="J22" s="74" t="s">
        <v>61</v>
      </c>
      <c r="K22" s="72">
        <f t="shared" si="0"/>
        <v>27.735015080411163</v>
      </c>
      <c r="L22" s="72">
        <f t="shared" si="1"/>
        <v>96.37390041550412</v>
      </c>
      <c r="M22" s="75"/>
    </row>
    <row r="23" spans="2:13" ht="36.75" customHeight="1">
      <c r="B23" s="70" t="s">
        <v>63</v>
      </c>
      <c r="C23" s="71">
        <f>C24+C26+C28+C30+C32+C34+C36</f>
        <v>77391953427.84</v>
      </c>
      <c r="D23" s="71">
        <f>D24+D26+D28+D30+D32+D34+D36</f>
        <v>77694918090.17</v>
      </c>
      <c r="E23" s="71">
        <f>E24+E26+E28+E30+E32+E34+E36</f>
        <v>77630763925.34999</v>
      </c>
      <c r="F23" s="74" t="s">
        <v>61</v>
      </c>
      <c r="G23" s="74" t="s">
        <v>61</v>
      </c>
      <c r="H23" s="74" t="s">
        <v>61</v>
      </c>
      <c r="I23" s="74" t="s">
        <v>61</v>
      </c>
      <c r="J23" s="74" t="s">
        <v>61</v>
      </c>
      <c r="K23" s="72">
        <f t="shared" si="0"/>
        <v>23.303178225585373</v>
      </c>
      <c r="L23" s="72">
        <f t="shared" si="1"/>
        <v>100.39146790966129</v>
      </c>
      <c r="M23" s="75"/>
    </row>
    <row r="24" spans="2:13" ht="33.75" customHeight="1">
      <c r="B24" s="73" t="s">
        <v>9</v>
      </c>
      <c r="C24" s="24">
        <f>63560206917.59</f>
        <v>63560206917.59</v>
      </c>
      <c r="D24" s="24">
        <f>63086584137.21</f>
        <v>63086584137.21</v>
      </c>
      <c r="E24" s="24">
        <f>63145778896.01</f>
        <v>63145778896.01</v>
      </c>
      <c r="F24" s="24" t="s">
        <v>61</v>
      </c>
      <c r="G24" s="24" t="s">
        <v>61</v>
      </c>
      <c r="H24" s="24" t="s">
        <v>61</v>
      </c>
      <c r="I24" s="24" t="s">
        <v>61</v>
      </c>
      <c r="J24" s="24" t="s">
        <v>61</v>
      </c>
      <c r="K24" s="34">
        <f t="shared" si="0"/>
        <v>18.921674028752104</v>
      </c>
      <c r="L24" s="34">
        <f t="shared" si="1"/>
        <v>99.25484386639256</v>
      </c>
      <c r="M24" s="28"/>
    </row>
    <row r="25" spans="2:13" ht="21" customHeight="1">
      <c r="B25" s="76" t="s">
        <v>6</v>
      </c>
      <c r="C25" s="24">
        <f>213811733.75</f>
        <v>213811733.75</v>
      </c>
      <c r="D25" s="24">
        <f>141694061.52</f>
        <v>141694061.52</v>
      </c>
      <c r="E25" s="24">
        <f>142016436.15</f>
        <v>142016436.15</v>
      </c>
      <c r="F25" s="24" t="s">
        <v>61</v>
      </c>
      <c r="G25" s="24" t="s">
        <v>61</v>
      </c>
      <c r="H25" s="24" t="s">
        <v>61</v>
      </c>
      <c r="I25" s="24" t="s">
        <v>61</v>
      </c>
      <c r="J25" s="24" t="s">
        <v>61</v>
      </c>
      <c r="K25" s="34">
        <f t="shared" si="0"/>
        <v>0.042498557824277826</v>
      </c>
      <c r="L25" s="34">
        <f t="shared" si="1"/>
        <v>66.27047965743368</v>
      </c>
      <c r="M25" s="28"/>
    </row>
    <row r="26" spans="2:13" ht="33.75" customHeight="1">
      <c r="B26" s="73" t="s">
        <v>7</v>
      </c>
      <c r="C26" s="24">
        <f>6376554468.2</f>
        <v>6376554468.2</v>
      </c>
      <c r="D26" s="24">
        <f>6129211521.77</f>
        <v>6129211521.77</v>
      </c>
      <c r="E26" s="24">
        <f>6145359088.49</f>
        <v>6145359088.49</v>
      </c>
      <c r="F26" s="24" t="s">
        <v>61</v>
      </c>
      <c r="G26" s="24" t="s">
        <v>61</v>
      </c>
      <c r="H26" s="24" t="s">
        <v>61</v>
      </c>
      <c r="I26" s="24" t="s">
        <v>61</v>
      </c>
      <c r="J26" s="24" t="s">
        <v>61</v>
      </c>
      <c r="K26" s="34">
        <f t="shared" si="0"/>
        <v>1.8383455698911226</v>
      </c>
      <c r="L26" s="34">
        <f t="shared" si="1"/>
        <v>96.1210564786437</v>
      </c>
      <c r="M26" s="28"/>
    </row>
    <row r="27" spans="2:13" ht="21" customHeight="1">
      <c r="B27" s="76" t="s">
        <v>6</v>
      </c>
      <c r="C27" s="24">
        <f>681738217.61</f>
        <v>681738217.61</v>
      </c>
      <c r="D27" s="24">
        <f>548857743.94</f>
        <v>548857743.94</v>
      </c>
      <c r="E27" s="24">
        <f>549684474.02</f>
        <v>549684474.02</v>
      </c>
      <c r="F27" s="24" t="s">
        <v>61</v>
      </c>
      <c r="G27" s="24" t="s">
        <v>61</v>
      </c>
      <c r="H27" s="24" t="s">
        <v>61</v>
      </c>
      <c r="I27" s="24" t="s">
        <v>61</v>
      </c>
      <c r="J27" s="24" t="s">
        <v>61</v>
      </c>
      <c r="K27" s="34">
        <f t="shared" si="0"/>
        <v>0.16461990232981194</v>
      </c>
      <c r="L27" s="34">
        <f t="shared" si="1"/>
        <v>80.50857789140164</v>
      </c>
      <c r="M27" s="28"/>
    </row>
    <row r="28" spans="2:13" ht="39.75" customHeight="1">
      <c r="B28" s="73" t="s">
        <v>10</v>
      </c>
      <c r="C28" s="24">
        <f>234346571.03</f>
        <v>234346571.03</v>
      </c>
      <c r="D28" s="24">
        <f>198125422.85</f>
        <v>198125422.85</v>
      </c>
      <c r="E28" s="24">
        <f>204457660.7</f>
        <v>204457660.7</v>
      </c>
      <c r="F28" s="24" t="s">
        <v>61</v>
      </c>
      <c r="G28" s="24" t="s">
        <v>61</v>
      </c>
      <c r="H28" s="24" t="s">
        <v>61</v>
      </c>
      <c r="I28" s="24" t="s">
        <v>61</v>
      </c>
      <c r="J28" s="24" t="s">
        <v>61</v>
      </c>
      <c r="K28" s="34">
        <f t="shared" si="0"/>
        <v>0.05942411876069864</v>
      </c>
      <c r="L28" s="34">
        <f t="shared" si="1"/>
        <v>84.54376864965388</v>
      </c>
      <c r="M28" s="28"/>
    </row>
    <row r="29" spans="2:13" ht="21" customHeight="1">
      <c r="B29" s="76" t="s">
        <v>6</v>
      </c>
      <c r="C29" s="24">
        <f>17262779.15</f>
        <v>17262779.15</v>
      </c>
      <c r="D29" s="24">
        <f>14632722.63</f>
        <v>14632722.63</v>
      </c>
      <c r="E29" s="24">
        <f>14540812.71</f>
        <v>14540812.71</v>
      </c>
      <c r="F29" s="24" t="s">
        <v>61</v>
      </c>
      <c r="G29" s="24" t="s">
        <v>61</v>
      </c>
      <c r="H29" s="24" t="s">
        <v>61</v>
      </c>
      <c r="I29" s="24" t="s">
        <v>61</v>
      </c>
      <c r="J29" s="24" t="s">
        <v>61</v>
      </c>
      <c r="K29" s="34">
        <f t="shared" si="0"/>
        <v>0.0043888191371372134</v>
      </c>
      <c r="L29" s="34">
        <f t="shared" si="1"/>
        <v>84.76458224283083</v>
      </c>
      <c r="M29" s="28"/>
    </row>
    <row r="30" spans="2:13" ht="39.75" customHeight="1">
      <c r="B30" s="73" t="s">
        <v>11</v>
      </c>
      <c r="C30" s="24">
        <f>1521561775.11</f>
        <v>1521561775.11</v>
      </c>
      <c r="D30" s="24">
        <f>1480449622.44</f>
        <v>1480449622.44</v>
      </c>
      <c r="E30" s="24">
        <f>1480127383.09</f>
        <v>1480127383.09</v>
      </c>
      <c r="F30" s="24" t="s">
        <v>61</v>
      </c>
      <c r="G30" s="24" t="s">
        <v>61</v>
      </c>
      <c r="H30" s="24" t="s">
        <v>61</v>
      </c>
      <c r="I30" s="24" t="s">
        <v>61</v>
      </c>
      <c r="J30" s="24" t="s">
        <v>61</v>
      </c>
      <c r="K30" s="34">
        <f t="shared" si="0"/>
        <v>0.444033950401767</v>
      </c>
      <c r="L30" s="34">
        <f t="shared" si="1"/>
        <v>97.29802934441963</v>
      </c>
      <c r="M30" s="28"/>
    </row>
    <row r="31" spans="2:13" ht="21" customHeight="1">
      <c r="B31" s="76" t="s">
        <v>6</v>
      </c>
      <c r="C31" s="24">
        <f>327270716.19</f>
        <v>327270716.19</v>
      </c>
      <c r="D31" s="24">
        <f>288269627.47</f>
        <v>288269627.47</v>
      </c>
      <c r="E31" s="24">
        <f>286412446.21</f>
        <v>286412446.21</v>
      </c>
      <c r="F31" s="24" t="s">
        <v>61</v>
      </c>
      <c r="G31" s="24" t="s">
        <v>61</v>
      </c>
      <c r="H31" s="24" t="s">
        <v>61</v>
      </c>
      <c r="I31" s="24" t="s">
        <v>61</v>
      </c>
      <c r="J31" s="24" t="s">
        <v>61</v>
      </c>
      <c r="K31" s="34">
        <f t="shared" si="0"/>
        <v>0.08646123415897425</v>
      </c>
      <c r="L31" s="34">
        <f t="shared" si="1"/>
        <v>88.08292743877594</v>
      </c>
      <c r="M31" s="28"/>
    </row>
    <row r="32" spans="2:13" ht="39.75" customHeight="1">
      <c r="B32" s="73" t="s">
        <v>85</v>
      </c>
      <c r="C32" s="24">
        <f>1458268896.71</f>
        <v>1458268896.71</v>
      </c>
      <c r="D32" s="24">
        <f>1263950652.39</f>
        <v>1263950652.39</v>
      </c>
      <c r="E32" s="24">
        <f>1266463153.11</f>
        <v>1266463153.11</v>
      </c>
      <c r="F32" s="24" t="s">
        <v>61</v>
      </c>
      <c r="G32" s="24" t="s">
        <v>61</v>
      </c>
      <c r="H32" s="24" t="s">
        <v>61</v>
      </c>
      <c r="I32" s="24" t="s">
        <v>61</v>
      </c>
      <c r="J32" s="24" t="s">
        <v>61</v>
      </c>
      <c r="K32" s="34">
        <f t="shared" si="0"/>
        <v>0.3790990201805184</v>
      </c>
      <c r="L32" s="34">
        <f t="shared" si="1"/>
        <v>86.6747316109943</v>
      </c>
      <c r="M32" s="28"/>
    </row>
    <row r="33" spans="2:13" ht="24" customHeight="1">
      <c r="B33" s="76" t="s">
        <v>6</v>
      </c>
      <c r="C33" s="24">
        <f>1162271000.09</f>
        <v>1162271000.09</v>
      </c>
      <c r="D33" s="24">
        <f>986029798.44</f>
        <v>986029798.44</v>
      </c>
      <c r="E33" s="24">
        <f>988177109.91</f>
        <v>988177109.91</v>
      </c>
      <c r="F33" s="24" t="s">
        <v>61</v>
      </c>
      <c r="G33" s="24" t="s">
        <v>61</v>
      </c>
      <c r="H33" s="24" t="s">
        <v>61</v>
      </c>
      <c r="I33" s="24" t="s">
        <v>61</v>
      </c>
      <c r="J33" s="24" t="s">
        <v>61</v>
      </c>
      <c r="K33" s="34">
        <f t="shared" si="0"/>
        <v>0.29574171250323367</v>
      </c>
      <c r="L33" s="34">
        <f t="shared" si="1"/>
        <v>84.8364794754104</v>
      </c>
      <c r="M33" s="28"/>
    </row>
    <row r="34" spans="2:13" ht="22.5" customHeight="1">
      <c r="B34" s="73" t="s">
        <v>8</v>
      </c>
      <c r="C34" s="24">
        <f>663997348.39</f>
        <v>663997348.39</v>
      </c>
      <c r="D34" s="24">
        <f>625235515.64</f>
        <v>625235515.64</v>
      </c>
      <c r="E34" s="24">
        <f>625369325.19</f>
        <v>625369325.19</v>
      </c>
      <c r="F34" s="24" t="s">
        <v>61</v>
      </c>
      <c r="G34" s="24" t="s">
        <v>61</v>
      </c>
      <c r="H34" s="24" t="s">
        <v>61</v>
      </c>
      <c r="I34" s="24" t="s">
        <v>61</v>
      </c>
      <c r="J34" s="24" t="s">
        <v>61</v>
      </c>
      <c r="K34" s="34">
        <f t="shared" si="0"/>
        <v>0.18752802644074212</v>
      </c>
      <c r="L34" s="34">
        <f t="shared" si="1"/>
        <v>94.16235127384377</v>
      </c>
      <c r="M34" s="28"/>
    </row>
    <row r="35" spans="2:13" ht="21" customHeight="1">
      <c r="B35" s="76" t="s">
        <v>6</v>
      </c>
      <c r="C35" s="24">
        <f>478917580.98</f>
        <v>478917580.98</v>
      </c>
      <c r="D35" s="24">
        <f>447430937.91</f>
        <v>447430937.91</v>
      </c>
      <c r="E35" s="24">
        <f>446323268.26</f>
        <v>446323268.26</v>
      </c>
      <c r="F35" s="24" t="s">
        <v>61</v>
      </c>
      <c r="G35" s="24" t="s">
        <v>61</v>
      </c>
      <c r="H35" s="24" t="s">
        <v>61</v>
      </c>
      <c r="I35" s="24" t="s">
        <v>61</v>
      </c>
      <c r="J35" s="24" t="s">
        <v>61</v>
      </c>
      <c r="K35" s="34">
        <f t="shared" si="0"/>
        <v>0.134198775750775</v>
      </c>
      <c r="L35" s="34">
        <f t="shared" si="1"/>
        <v>93.42545683840433</v>
      </c>
      <c r="M35" s="28"/>
    </row>
    <row r="36" spans="2:13" ht="45">
      <c r="B36" s="88" t="s">
        <v>107</v>
      </c>
      <c r="C36" s="24">
        <f>3577017450.81</f>
        <v>3577017450.81</v>
      </c>
      <c r="D36" s="24">
        <f>4911361217.87</f>
        <v>4911361217.87</v>
      </c>
      <c r="E36" s="24">
        <f>4763208418.76</f>
        <v>4763208418.76</v>
      </c>
      <c r="F36" s="24" t="s">
        <v>61</v>
      </c>
      <c r="G36" s="24" t="s">
        <v>61</v>
      </c>
      <c r="H36" s="24" t="s">
        <v>61</v>
      </c>
      <c r="I36" s="24" t="s">
        <v>61</v>
      </c>
      <c r="J36" s="24" t="s">
        <v>61</v>
      </c>
      <c r="K36" s="34">
        <f t="shared" si="0"/>
        <v>1.4730735111584212</v>
      </c>
      <c r="L36" s="34">
        <f t="shared" si="1"/>
        <v>137.30325013532834</v>
      </c>
      <c r="M36" s="28"/>
    </row>
    <row r="37" spans="2:13" ht="21" customHeight="1">
      <c r="B37" s="29" t="s">
        <v>6</v>
      </c>
      <c r="C37" s="24">
        <f>2689619583.89</f>
        <v>2689619583.89</v>
      </c>
      <c r="D37" s="24">
        <f>3762466200.91</f>
        <v>3762466200.91</v>
      </c>
      <c r="E37" s="24">
        <f>3611809629.68</f>
        <v>3611809629.68</v>
      </c>
      <c r="F37" s="24" t="s">
        <v>61</v>
      </c>
      <c r="G37" s="24" t="s">
        <v>61</v>
      </c>
      <c r="H37" s="24" t="s">
        <v>61</v>
      </c>
      <c r="I37" s="24" t="s">
        <v>61</v>
      </c>
      <c r="J37" s="24" t="s">
        <v>61</v>
      </c>
      <c r="K37" s="34">
        <f t="shared" si="0"/>
        <v>1.1284833371700258</v>
      </c>
      <c r="L37" s="34">
        <f t="shared" si="1"/>
        <v>139.8884148318232</v>
      </c>
      <c r="M37" s="28"/>
    </row>
    <row r="38" spans="2:13" ht="25.5" customHeight="1">
      <c r="B38" s="70" t="s">
        <v>75</v>
      </c>
      <c r="C38" s="71">
        <f>2598524265.73</f>
        <v>2598524265.73</v>
      </c>
      <c r="D38" s="71">
        <f>2060809086.9</f>
        <v>2060809086.9</v>
      </c>
      <c r="E38" s="71">
        <f>2107337093.34</f>
        <v>2107337093.34</v>
      </c>
      <c r="F38" s="74" t="s">
        <v>61</v>
      </c>
      <c r="G38" s="74" t="s">
        <v>61</v>
      </c>
      <c r="H38" s="74" t="s">
        <v>61</v>
      </c>
      <c r="I38" s="74" t="s">
        <v>61</v>
      </c>
      <c r="J38" s="74" t="s">
        <v>61</v>
      </c>
      <c r="K38" s="72">
        <f t="shared" si="0"/>
        <v>0.6181022211157013</v>
      </c>
      <c r="L38" s="72">
        <f t="shared" si="1"/>
        <v>79.30690177030382</v>
      </c>
      <c r="M38" s="28"/>
    </row>
    <row r="39" spans="2:13" ht="19.5" customHeight="1">
      <c r="B39" s="29" t="s">
        <v>76</v>
      </c>
      <c r="C39" s="23">
        <f>1812966716.99</f>
        <v>1812966716.99</v>
      </c>
      <c r="D39" s="23">
        <f>1367030467.22</f>
        <v>1367030467.22</v>
      </c>
      <c r="E39" s="23">
        <f>1393925777.92</f>
        <v>1393925777.92</v>
      </c>
      <c r="F39" s="23" t="s">
        <v>61</v>
      </c>
      <c r="G39" s="23" t="s">
        <v>61</v>
      </c>
      <c r="H39" s="23" t="s">
        <v>61</v>
      </c>
      <c r="I39" s="23" t="s">
        <v>61</v>
      </c>
      <c r="J39" s="23" t="s">
        <v>61</v>
      </c>
      <c r="K39" s="34">
        <f t="shared" si="0"/>
        <v>0.41001593669822484</v>
      </c>
      <c r="L39" s="34">
        <f t="shared" si="1"/>
        <v>75.40295441769769</v>
      </c>
      <c r="M39" s="28"/>
    </row>
    <row r="40" spans="2:13" ht="25.5" customHeight="1">
      <c r="B40" s="70" t="s">
        <v>93</v>
      </c>
      <c r="C40" s="71">
        <f>15959842164.06</f>
        <v>15959842164.06</v>
      </c>
      <c r="D40" s="71">
        <f>12715338530.88</f>
        <v>12715338530.88</v>
      </c>
      <c r="E40" s="71">
        <f>12765375898.17</f>
        <v>12765375898.17</v>
      </c>
      <c r="F40" s="74" t="s">
        <v>61</v>
      </c>
      <c r="G40" s="74" t="s">
        <v>61</v>
      </c>
      <c r="H40" s="74" t="s">
        <v>61</v>
      </c>
      <c r="I40" s="74" t="s">
        <v>61</v>
      </c>
      <c r="J40" s="74" t="s">
        <v>61</v>
      </c>
      <c r="K40" s="72">
        <f t="shared" si="0"/>
        <v>3.813734633710085</v>
      </c>
      <c r="L40" s="72">
        <f t="shared" si="1"/>
        <v>79.67082882256628</v>
      </c>
      <c r="M40" s="28"/>
    </row>
    <row r="41" spans="2:13" ht="21" customHeight="1">
      <c r="B41" s="29" t="s">
        <v>94</v>
      </c>
      <c r="C41" s="23">
        <f>12266138016.88</f>
        <v>12266138016.88</v>
      </c>
      <c r="D41" s="23">
        <f>9519373932.65001</f>
        <v>9519373932.65001</v>
      </c>
      <c r="E41" s="23">
        <f>9528211539.85</f>
        <v>9528211539.85</v>
      </c>
      <c r="F41" s="23" t="s">
        <v>61</v>
      </c>
      <c r="G41" s="23" t="s">
        <v>61</v>
      </c>
      <c r="H41" s="23" t="s">
        <v>61</v>
      </c>
      <c r="I41" s="23" t="s">
        <v>61</v>
      </c>
      <c r="J41" s="23" t="s">
        <v>61</v>
      </c>
      <c r="K41" s="34">
        <f t="shared" si="0"/>
        <v>2.855163153542226</v>
      </c>
      <c r="L41" s="34">
        <f t="shared" si="1"/>
        <v>77.60693642571084</v>
      </c>
      <c r="M41" s="28"/>
    </row>
    <row r="42" spans="2:13" ht="35.25" customHeight="1">
      <c r="B42" s="70" t="s">
        <v>64</v>
      </c>
      <c r="C42" s="71">
        <f>C43+C44+C45+C46+C47+C48</f>
        <v>78447799520.77</v>
      </c>
      <c r="D42" s="71">
        <f>D43+D44+D45+D46+D47+D48</f>
        <v>82318391974</v>
      </c>
      <c r="E42" s="71">
        <f>E43+E44+E45+E46+E47+E48</f>
        <v>82089047596.44</v>
      </c>
      <c r="F42" s="74" t="s">
        <v>61</v>
      </c>
      <c r="G42" s="74" t="s">
        <v>61</v>
      </c>
      <c r="H42" s="74" t="s">
        <v>61</v>
      </c>
      <c r="I42" s="74" t="s">
        <v>61</v>
      </c>
      <c r="J42" s="74" t="s">
        <v>61</v>
      </c>
      <c r="K42" s="72">
        <f t="shared" si="0"/>
        <v>24.689905164549245</v>
      </c>
      <c r="L42" s="72">
        <f t="shared" si="1"/>
        <v>104.93397198758291</v>
      </c>
      <c r="M42" s="28"/>
    </row>
    <row r="43" spans="2:13" ht="26.25" customHeight="1">
      <c r="B43" s="21" t="s">
        <v>50</v>
      </c>
      <c r="C43" s="23">
        <f>14240504793</f>
        <v>14240504793</v>
      </c>
      <c r="D43" s="23">
        <f>14239059991</f>
        <v>14239059991</v>
      </c>
      <c r="E43" s="23">
        <f>14234842331</f>
        <v>14234842331</v>
      </c>
      <c r="F43" s="23" t="s">
        <v>61</v>
      </c>
      <c r="G43" s="23" t="s">
        <v>61</v>
      </c>
      <c r="H43" s="23" t="s">
        <v>61</v>
      </c>
      <c r="I43" s="23" t="s">
        <v>61</v>
      </c>
      <c r="J43" s="23" t="s">
        <v>61</v>
      </c>
      <c r="K43" s="34">
        <f t="shared" si="0"/>
        <v>4.270747185163151</v>
      </c>
      <c r="L43" s="34">
        <f t="shared" si="1"/>
        <v>99.98985427819447</v>
      </c>
      <c r="M43" s="28"/>
    </row>
    <row r="44" spans="2:13" ht="26.25" customHeight="1">
      <c r="B44" s="21" t="s">
        <v>49</v>
      </c>
      <c r="C44" s="23">
        <f>52221831491</f>
        <v>52221831491</v>
      </c>
      <c r="D44" s="23">
        <f>52222758000</f>
        <v>52222758000</v>
      </c>
      <c r="E44" s="23">
        <f>52002077097.44</f>
        <v>52002077097.44</v>
      </c>
      <c r="F44" s="23" t="s">
        <v>61</v>
      </c>
      <c r="G44" s="23" t="s">
        <v>61</v>
      </c>
      <c r="H44" s="23" t="s">
        <v>61</v>
      </c>
      <c r="I44" s="23" t="s">
        <v>61</v>
      </c>
      <c r="J44" s="23" t="s">
        <v>61</v>
      </c>
      <c r="K44" s="34">
        <f t="shared" si="0"/>
        <v>15.663266877934767</v>
      </c>
      <c r="L44" s="34">
        <f t="shared" si="1"/>
        <v>100.00177417944478</v>
      </c>
      <c r="M44" s="28"/>
    </row>
    <row r="45" spans="2:13" ht="26.25" customHeight="1">
      <c r="B45" s="21" t="s">
        <v>48</v>
      </c>
      <c r="C45" s="23">
        <f>3163088</f>
        <v>3163088</v>
      </c>
      <c r="D45" s="23">
        <f>3163088</f>
        <v>3163088</v>
      </c>
      <c r="E45" s="23">
        <f>3163088</f>
        <v>3163088</v>
      </c>
      <c r="F45" s="23" t="s">
        <v>61</v>
      </c>
      <c r="G45" s="23" t="s">
        <v>61</v>
      </c>
      <c r="H45" s="23" t="s">
        <v>61</v>
      </c>
      <c r="I45" s="23" t="s">
        <v>61</v>
      </c>
      <c r="J45" s="23" t="s">
        <v>61</v>
      </c>
      <c r="K45" s="34">
        <f t="shared" si="0"/>
        <v>0.0009487107422092285</v>
      </c>
      <c r="L45" s="34">
        <f t="shared" si="1"/>
        <v>100</v>
      </c>
      <c r="M45" s="28"/>
    </row>
    <row r="46" spans="2:13" ht="26.25" customHeight="1">
      <c r="B46" s="21" t="s">
        <v>47</v>
      </c>
      <c r="C46" s="23">
        <f>2135199922</f>
        <v>2135199922</v>
      </c>
      <c r="D46" s="23">
        <f>2135199440</f>
        <v>2135199440</v>
      </c>
      <c r="E46" s="23">
        <f>2132467645</f>
        <v>2132467645</v>
      </c>
      <c r="F46" s="23" t="s">
        <v>61</v>
      </c>
      <c r="G46" s="23" t="s">
        <v>61</v>
      </c>
      <c r="H46" s="23" t="s">
        <v>61</v>
      </c>
      <c r="I46" s="23" t="s">
        <v>61</v>
      </c>
      <c r="J46" s="23" t="s">
        <v>61</v>
      </c>
      <c r="K46" s="34">
        <f t="shared" si="0"/>
        <v>0.6404142551478583</v>
      </c>
      <c r="L46" s="34">
        <f t="shared" si="1"/>
        <v>99.99997742600142</v>
      </c>
      <c r="M46" s="28"/>
    </row>
    <row r="47" spans="2:13" ht="26.25" customHeight="1">
      <c r="B47" s="21" t="s">
        <v>60</v>
      </c>
      <c r="C47" s="23">
        <f>638823295</f>
        <v>638823295</v>
      </c>
      <c r="D47" s="23">
        <f>638823295</f>
        <v>638823295</v>
      </c>
      <c r="E47" s="23">
        <f>638823295</f>
        <v>638823295</v>
      </c>
      <c r="F47" s="23" t="s">
        <v>61</v>
      </c>
      <c r="G47" s="23" t="s">
        <v>61</v>
      </c>
      <c r="H47" s="23" t="s">
        <v>61</v>
      </c>
      <c r="I47" s="23" t="s">
        <v>61</v>
      </c>
      <c r="J47" s="23" t="s">
        <v>61</v>
      </c>
      <c r="K47" s="34">
        <f t="shared" si="0"/>
        <v>0.19160343384059972</v>
      </c>
      <c r="L47" s="34">
        <f t="shared" si="1"/>
        <v>100</v>
      </c>
      <c r="M47" s="28"/>
    </row>
    <row r="48" spans="2:13" ht="26.25" customHeight="1">
      <c r="B48" s="21" t="s">
        <v>45</v>
      </c>
      <c r="C48" s="23">
        <f>9208276931.77</f>
        <v>9208276931.77</v>
      </c>
      <c r="D48" s="23">
        <f>13079388160</f>
        <v>13079388160</v>
      </c>
      <c r="E48" s="23">
        <f>13077674140</f>
        <v>13077674140</v>
      </c>
      <c r="F48" s="23" t="s">
        <v>61</v>
      </c>
      <c r="G48" s="23" t="s">
        <v>61</v>
      </c>
      <c r="H48" s="23" t="s">
        <v>61</v>
      </c>
      <c r="I48" s="23" t="s">
        <v>61</v>
      </c>
      <c r="J48" s="23" t="s">
        <v>61</v>
      </c>
      <c r="K48" s="34">
        <f t="shared" si="0"/>
        <v>3.922924701720659</v>
      </c>
      <c r="L48" s="34">
        <f t="shared" si="1"/>
        <v>142.03947445231645</v>
      </c>
      <c r="M48" s="28"/>
    </row>
    <row r="49" spans="1:13" s="6" customFormat="1" ht="13.5" customHeight="1">
      <c r="A49" s="3"/>
      <c r="B49" s="22"/>
      <c r="C49" s="8"/>
      <c r="D49" s="9"/>
      <c r="E49" s="9"/>
      <c r="F49" s="16"/>
      <c r="G49" s="16"/>
      <c r="H49" s="16"/>
      <c r="I49" s="16"/>
      <c r="J49" s="16"/>
      <c r="K49" s="10"/>
      <c r="L49" s="10"/>
      <c r="M49" s="4"/>
    </row>
    <row r="50" spans="1:13" s="6" customFormat="1" ht="18.75" customHeight="1">
      <c r="A50" s="3"/>
      <c r="B50" s="77" t="s">
        <v>5</v>
      </c>
      <c r="C50" s="78">
        <f aca="true" t="shared" si="4" ref="C50:J50">+C6</f>
        <v>324566985975.13</v>
      </c>
      <c r="D50" s="78">
        <f t="shared" si="4"/>
        <v>333409105565.12</v>
      </c>
      <c r="E50" s="78">
        <f t="shared" si="4"/>
        <v>331884014489.21</v>
      </c>
      <c r="F50" s="78">
        <f t="shared" si="4"/>
        <v>3651937325.13</v>
      </c>
      <c r="G50" s="78">
        <f t="shared" si="4"/>
        <v>975057585.51</v>
      </c>
      <c r="H50" s="78">
        <f t="shared" si="4"/>
        <v>168594119</v>
      </c>
      <c r="I50" s="78">
        <f t="shared" si="4"/>
        <v>177656273.29</v>
      </c>
      <c r="J50" s="78">
        <f t="shared" si="4"/>
        <v>6806259.82</v>
      </c>
      <c r="K50" s="79">
        <f>IF($D$50=0,"",100*$D50/$D$50)</f>
        <v>100</v>
      </c>
      <c r="L50" s="79">
        <f t="shared" si="1"/>
        <v>102.72428188080335</v>
      </c>
      <c r="M50" s="4"/>
    </row>
    <row r="51" spans="1:13" s="6" customFormat="1" ht="24.75" customHeight="1">
      <c r="A51" s="3"/>
      <c r="B51" s="68" t="s">
        <v>79</v>
      </c>
      <c r="C51" s="69">
        <f>33168751110.2799</f>
        <v>33168751110.2799</v>
      </c>
      <c r="D51" s="69">
        <f>32675688918.9799</f>
        <v>32675688918.9799</v>
      </c>
      <c r="E51" s="69">
        <f>32538684906.8899</f>
        <v>32538684906.8899</v>
      </c>
      <c r="F51" s="69">
        <f>0</f>
        <v>0</v>
      </c>
      <c r="G51" s="69">
        <f>216.89</f>
        <v>216.89</v>
      </c>
      <c r="H51" s="69">
        <f>0</f>
        <v>0</v>
      </c>
      <c r="I51" s="69">
        <f>122480.7</f>
        <v>122480.7</v>
      </c>
      <c r="J51" s="69">
        <f>0</f>
        <v>0</v>
      </c>
      <c r="K51" s="35">
        <f>IF($D$50=0,"",100*$D51/$D$50)</f>
        <v>9.800478863225838</v>
      </c>
      <c r="L51" s="35">
        <f t="shared" si="1"/>
        <v>98.51347375226563</v>
      </c>
      <c r="M51" s="4"/>
    </row>
    <row r="52" spans="1:13" s="6" customFormat="1" ht="24.75" customHeight="1">
      <c r="A52" s="3"/>
      <c r="B52" s="68" t="s">
        <v>80</v>
      </c>
      <c r="C52" s="69">
        <f>+C50-C51</f>
        <v>291398234864.8501</v>
      </c>
      <c r="D52" s="69">
        <f aca="true" t="shared" si="5" ref="D52:J52">+D50-D51</f>
        <v>300733416646.1401</v>
      </c>
      <c r="E52" s="69">
        <f t="shared" si="5"/>
        <v>299345329582.3201</v>
      </c>
      <c r="F52" s="69">
        <f t="shared" si="5"/>
        <v>3651937325.13</v>
      </c>
      <c r="G52" s="69">
        <f t="shared" si="5"/>
        <v>975057368.62</v>
      </c>
      <c r="H52" s="69">
        <f t="shared" si="5"/>
        <v>168594119</v>
      </c>
      <c r="I52" s="69">
        <f t="shared" si="5"/>
        <v>177533792.59</v>
      </c>
      <c r="J52" s="69">
        <f t="shared" si="5"/>
        <v>6806259.82</v>
      </c>
      <c r="K52" s="35">
        <f>IF($D$50=0,"",100*$D52/$D$50)</f>
        <v>90.19952113677415</v>
      </c>
      <c r="L52" s="35">
        <f t="shared" si="1"/>
        <v>103.20358213069466</v>
      </c>
      <c r="M52" s="4"/>
    </row>
    <row r="53" spans="1:13" s="6" customFormat="1" ht="13.5" customHeight="1">
      <c r="A53" s="3"/>
      <c r="B53" s="22"/>
      <c r="C53" s="8"/>
      <c r="D53" s="9"/>
      <c r="E53" s="9"/>
      <c r="F53" s="16"/>
      <c r="G53" s="16"/>
      <c r="H53" s="16"/>
      <c r="I53" s="16"/>
      <c r="J53" s="16"/>
      <c r="K53" s="10"/>
      <c r="L53" s="10"/>
      <c r="M53" s="4"/>
    </row>
    <row r="54" spans="2:13" ht="58.5" customHeight="1">
      <c r="B54" s="102" t="str">
        <f>CONCATENATE("Informacja z wykonania budżetów jednostek samorządu terytorialnego za ",$D$108," ",$C$109," roku")</f>
        <v>Informacja z wykonania budżetów jednostek samorządu terytorialnego za IV Kwartały 2021 roku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</row>
    <row r="55" spans="2:13" s="6" customFormat="1" ht="13.5" customHeight="1">
      <c r="B55" s="7"/>
      <c r="C55" s="8"/>
      <c r="D55" s="9"/>
      <c r="E55" s="9"/>
      <c r="F55" s="5"/>
      <c r="G55" s="5"/>
      <c r="H55" s="5"/>
      <c r="I55" s="5"/>
      <c r="J55" s="5"/>
      <c r="K55" s="10"/>
      <c r="L55" s="10"/>
      <c r="M55" s="4"/>
    </row>
    <row r="56" spans="2:27" ht="29.25" customHeight="1">
      <c r="B56" s="95" t="s">
        <v>0</v>
      </c>
      <c r="C56" s="94" t="s">
        <v>56</v>
      </c>
      <c r="D56" s="94" t="s">
        <v>57</v>
      </c>
      <c r="E56" s="94" t="s">
        <v>58</v>
      </c>
      <c r="F56" s="94" t="s">
        <v>12</v>
      </c>
      <c r="G56" s="94"/>
      <c r="H56" s="94"/>
      <c r="I56" s="94" t="s">
        <v>95</v>
      </c>
      <c r="J56" s="94"/>
      <c r="K56" s="94" t="s">
        <v>2</v>
      </c>
      <c r="L56" s="101" t="s">
        <v>36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2:27" ht="18" customHeight="1">
      <c r="B57" s="95"/>
      <c r="C57" s="94"/>
      <c r="D57" s="100"/>
      <c r="E57" s="94"/>
      <c r="F57" s="91" t="s">
        <v>59</v>
      </c>
      <c r="G57" s="99" t="s">
        <v>34</v>
      </c>
      <c r="H57" s="100"/>
      <c r="I57" s="94"/>
      <c r="J57" s="94"/>
      <c r="K57" s="94"/>
      <c r="L57" s="101"/>
      <c r="M57" s="12"/>
      <c r="N57" s="13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2:27" ht="36" customHeight="1">
      <c r="B58" s="95"/>
      <c r="C58" s="94"/>
      <c r="D58" s="100"/>
      <c r="E58" s="94"/>
      <c r="F58" s="100"/>
      <c r="G58" s="18" t="s">
        <v>54</v>
      </c>
      <c r="H58" s="18" t="s">
        <v>55</v>
      </c>
      <c r="I58" s="94"/>
      <c r="J58" s="94"/>
      <c r="K58" s="94"/>
      <c r="L58" s="101"/>
      <c r="M58" s="12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2:27" ht="13.5" customHeight="1">
      <c r="B59" s="95"/>
      <c r="C59" s="96" t="s">
        <v>84</v>
      </c>
      <c r="D59" s="96"/>
      <c r="E59" s="96"/>
      <c r="F59" s="96"/>
      <c r="G59" s="96"/>
      <c r="H59" s="96"/>
      <c r="I59" s="96"/>
      <c r="J59" s="96"/>
      <c r="K59" s="96" t="s">
        <v>4</v>
      </c>
      <c r="L59" s="96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2:27" ht="11.25" customHeight="1">
      <c r="B60" s="17">
        <v>1</v>
      </c>
      <c r="C60" s="19">
        <v>2</v>
      </c>
      <c r="D60" s="19">
        <v>3</v>
      </c>
      <c r="E60" s="19">
        <v>4</v>
      </c>
      <c r="F60" s="17">
        <v>5</v>
      </c>
      <c r="G60" s="17">
        <v>6</v>
      </c>
      <c r="H60" s="19">
        <v>7</v>
      </c>
      <c r="I60" s="100">
        <v>8</v>
      </c>
      <c r="J60" s="100"/>
      <c r="K60" s="17">
        <v>9</v>
      </c>
      <c r="L60" s="19">
        <v>10</v>
      </c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2:12" ht="44.25" customHeight="1">
      <c r="B61" s="70" t="s">
        <v>65</v>
      </c>
      <c r="C61" s="78">
        <f>343995521409.93</f>
        <v>343995521409.93</v>
      </c>
      <c r="D61" s="78">
        <f>316311955654.44</f>
        <v>316311955654.44</v>
      </c>
      <c r="E61" s="78">
        <f>315967267602.63</f>
        <v>315967267602.63</v>
      </c>
      <c r="F61" s="78">
        <f>12844249790.98</f>
        <v>12844249790.98</v>
      </c>
      <c r="G61" s="78">
        <f>2417562.52</f>
        <v>2417562.52</v>
      </c>
      <c r="H61" s="78">
        <f>12086843.23</f>
        <v>12086843.23</v>
      </c>
      <c r="I61" s="105">
        <f>2817866244.5</f>
        <v>2817866244.5</v>
      </c>
      <c r="J61" s="105"/>
      <c r="K61" s="62">
        <f aca="true" t="shared" si="6" ref="K61:K70">IF($E$61=0,"",100*$E61/$E$61)</f>
        <v>100</v>
      </c>
      <c r="L61" s="62">
        <f aca="true" t="shared" si="7" ref="L61:L70">IF(C61=0,"",100*E61/C61)</f>
        <v>91.85214572200796</v>
      </c>
    </row>
    <row r="62" spans="2:12" ht="24" customHeight="1">
      <c r="B62" s="20" t="s">
        <v>14</v>
      </c>
      <c r="C62" s="26">
        <f>66572683257.03</f>
        <v>66572683257.03</v>
      </c>
      <c r="D62" s="26">
        <f>52024238683.58</f>
        <v>52024238683.58</v>
      </c>
      <c r="E62" s="26">
        <f>51840177209.06</f>
        <v>51840177209.06</v>
      </c>
      <c r="F62" s="26">
        <f>1310292153.3</f>
        <v>1310292153.3</v>
      </c>
      <c r="G62" s="26">
        <f>139062.77</f>
        <v>139062.77</v>
      </c>
      <c r="H62" s="26">
        <f>1590865.6</f>
        <v>1590865.6</v>
      </c>
      <c r="I62" s="106">
        <f>2568100277.59</f>
        <v>2568100277.59</v>
      </c>
      <c r="J62" s="107"/>
      <c r="K62" s="36">
        <f t="shared" si="6"/>
        <v>16.406818846265992</v>
      </c>
      <c r="L62" s="36">
        <f t="shared" si="7"/>
        <v>77.87004319611188</v>
      </c>
    </row>
    <row r="63" spans="2:12" ht="22.5" customHeight="1">
      <c r="B63" s="21" t="s">
        <v>13</v>
      </c>
      <c r="C63" s="23">
        <f>62550711029.3</f>
        <v>62550711029.3</v>
      </c>
      <c r="D63" s="23">
        <f>48283419684.73</f>
        <v>48283419684.73</v>
      </c>
      <c r="E63" s="23">
        <f>48099358210.21</f>
        <v>48099358210.21</v>
      </c>
      <c r="F63" s="23">
        <f>1280823973.71</f>
        <v>1280823973.71</v>
      </c>
      <c r="G63" s="23">
        <f>139062.77</f>
        <v>139062.77</v>
      </c>
      <c r="H63" s="23">
        <f>1590865.6</f>
        <v>1590865.6</v>
      </c>
      <c r="I63" s="103">
        <f>2567900277.59</f>
        <v>2567900277.59</v>
      </c>
      <c r="J63" s="104"/>
      <c r="K63" s="37">
        <f t="shared" si="6"/>
        <v>15.222892730363833</v>
      </c>
      <c r="L63" s="37">
        <f t="shared" si="7"/>
        <v>76.8965810599328</v>
      </c>
    </row>
    <row r="64" spans="2:12" ht="44.25" customHeight="1">
      <c r="B64" s="70" t="s">
        <v>66</v>
      </c>
      <c r="C64" s="78">
        <f aca="true" t="shared" si="8" ref="C64:I64">C61-C62</f>
        <v>277422838152.9</v>
      </c>
      <c r="D64" s="78">
        <f t="shared" si="8"/>
        <v>264287716970.86</v>
      </c>
      <c r="E64" s="78">
        <f t="shared" si="8"/>
        <v>264127090393.57</v>
      </c>
      <c r="F64" s="78">
        <f t="shared" si="8"/>
        <v>11533957637.68</v>
      </c>
      <c r="G64" s="78">
        <f t="shared" si="8"/>
        <v>2278499.75</v>
      </c>
      <c r="H64" s="78">
        <f t="shared" si="8"/>
        <v>10495977.63</v>
      </c>
      <c r="I64" s="105">
        <f t="shared" si="8"/>
        <v>249765966.90999985</v>
      </c>
      <c r="J64" s="105"/>
      <c r="K64" s="62">
        <f t="shared" si="6"/>
        <v>83.59318115373401</v>
      </c>
      <c r="L64" s="62">
        <f t="shared" si="7"/>
        <v>95.20740691434995</v>
      </c>
    </row>
    <row r="65" spans="2:12" ht="22.5" customHeight="1">
      <c r="B65" s="21" t="s">
        <v>105</v>
      </c>
      <c r="C65" s="23">
        <f>106730649341.98</f>
        <v>106730649341.98</v>
      </c>
      <c r="D65" s="23">
        <f>103839669954.12</f>
        <v>103839669954.12</v>
      </c>
      <c r="E65" s="23">
        <f>103785260853.74</f>
        <v>103785260853.74</v>
      </c>
      <c r="F65" s="23">
        <f>8284892265.45001</f>
        <v>8284892265.45001</v>
      </c>
      <c r="G65" s="23">
        <f>1291753.09</f>
        <v>1291753.09</v>
      </c>
      <c r="H65" s="23">
        <f>1720995.29</f>
        <v>1720995.29</v>
      </c>
      <c r="I65" s="103">
        <f>572037.05</f>
        <v>572037.05</v>
      </c>
      <c r="J65" s="104"/>
      <c r="K65" s="37">
        <f t="shared" si="6"/>
        <v>32.84683937079947</v>
      </c>
      <c r="L65" s="37">
        <f t="shared" si="7"/>
        <v>97.24035363187704</v>
      </c>
    </row>
    <row r="66" spans="2:12" ht="22.5" customHeight="1">
      <c r="B66" s="21" t="s">
        <v>53</v>
      </c>
      <c r="C66" s="23">
        <f>28541392897.26</f>
        <v>28541392897.26</v>
      </c>
      <c r="D66" s="23">
        <f>27657146312.01</f>
        <v>27657146312.01</v>
      </c>
      <c r="E66" s="23">
        <f>27649636106.78</f>
        <v>27649636106.78</v>
      </c>
      <c r="F66" s="23">
        <f>14188886.07</f>
        <v>14188886.07</v>
      </c>
      <c r="G66" s="23">
        <f>0</f>
        <v>0</v>
      </c>
      <c r="H66" s="23">
        <f>1032946.12</f>
        <v>1032946.12</v>
      </c>
      <c r="I66" s="103">
        <f>29127295.49</f>
        <v>29127295.49</v>
      </c>
      <c r="J66" s="104"/>
      <c r="K66" s="37">
        <f t="shared" si="6"/>
        <v>8.750791281821325</v>
      </c>
      <c r="L66" s="37">
        <f t="shared" si="7"/>
        <v>96.87556667717641</v>
      </c>
    </row>
    <row r="67" spans="2:12" ht="22.5" customHeight="1">
      <c r="B67" s="21" t="s">
        <v>52</v>
      </c>
      <c r="C67" s="23">
        <f>1639767790.45</f>
        <v>1639767790.45</v>
      </c>
      <c r="D67" s="23">
        <f>1191445733.94</f>
        <v>1191445733.94</v>
      </c>
      <c r="E67" s="23">
        <f>1187144131.93</f>
        <v>1187144131.93</v>
      </c>
      <c r="F67" s="23">
        <f>50696613.72</f>
        <v>50696613.72</v>
      </c>
      <c r="G67" s="23">
        <f>435.86</f>
        <v>435.86</v>
      </c>
      <c r="H67" s="23">
        <f>25438.68</f>
        <v>25438.68</v>
      </c>
      <c r="I67" s="103">
        <f>0</f>
        <v>0</v>
      </c>
      <c r="J67" s="104"/>
      <c r="K67" s="37">
        <f t="shared" si="6"/>
        <v>0.3757174409037168</v>
      </c>
      <c r="L67" s="37">
        <f t="shared" si="7"/>
        <v>72.39708810259123</v>
      </c>
    </row>
    <row r="68" spans="2:12" ht="33.75" customHeight="1">
      <c r="B68" s="21" t="s">
        <v>72</v>
      </c>
      <c r="C68" s="23">
        <f>219896001</f>
        <v>219896001</v>
      </c>
      <c r="D68" s="23">
        <f>35364073.93</f>
        <v>35364073.93</v>
      </c>
      <c r="E68" s="23">
        <f>32322574.51</f>
        <v>32322574.51</v>
      </c>
      <c r="F68" s="23">
        <f>40800</f>
        <v>40800</v>
      </c>
      <c r="G68" s="23">
        <f>0</f>
        <v>0</v>
      </c>
      <c r="H68" s="23">
        <f>0</f>
        <v>0</v>
      </c>
      <c r="I68" s="103">
        <f>0</f>
        <v>0</v>
      </c>
      <c r="J68" s="104"/>
      <c r="K68" s="37">
        <f t="shared" si="6"/>
        <v>0.010229722450443774</v>
      </c>
      <c r="L68" s="37">
        <f t="shared" si="7"/>
        <v>14.699027887278405</v>
      </c>
    </row>
    <row r="69" spans="2:12" ht="30" customHeight="1">
      <c r="B69" s="21" t="s">
        <v>74</v>
      </c>
      <c r="C69" s="23">
        <f>60043453674.02</f>
        <v>60043453674.02</v>
      </c>
      <c r="D69" s="23">
        <f>59406878411.2</f>
        <v>59406878411.2</v>
      </c>
      <c r="E69" s="23">
        <f>59393886293.02</f>
        <v>59393886293.02</v>
      </c>
      <c r="F69" s="23">
        <f>620227736.93</f>
        <v>620227736.93</v>
      </c>
      <c r="G69" s="23">
        <f>54004</f>
        <v>54004</v>
      </c>
      <c r="H69" s="23">
        <f>284577.42</f>
        <v>284577.42</v>
      </c>
      <c r="I69" s="103">
        <f>7200</f>
        <v>7200</v>
      </c>
      <c r="J69" s="104"/>
      <c r="K69" s="37">
        <f t="shared" si="6"/>
        <v>18.797480746554907</v>
      </c>
      <c r="L69" s="37">
        <f t="shared" si="7"/>
        <v>98.9181711889417</v>
      </c>
    </row>
    <row r="70" spans="2:12" ht="22.5" customHeight="1">
      <c r="B70" s="21" t="s">
        <v>51</v>
      </c>
      <c r="C70" s="23">
        <f aca="true" t="shared" si="9" ref="C70:I70">C64-C65-C66-C67-C68-C69</f>
        <v>80247678448.19003</v>
      </c>
      <c r="D70" s="23">
        <f t="shared" si="9"/>
        <v>72157212485.66</v>
      </c>
      <c r="E70" s="23">
        <f t="shared" si="9"/>
        <v>72078840433.59003</v>
      </c>
      <c r="F70" s="23">
        <f t="shared" si="9"/>
        <v>2563911335.50999</v>
      </c>
      <c r="G70" s="23">
        <f t="shared" si="9"/>
        <v>932306.7999999999</v>
      </c>
      <c r="H70" s="23">
        <f t="shared" si="9"/>
        <v>7432020.12</v>
      </c>
      <c r="I70" s="103">
        <f t="shared" si="9"/>
        <v>220059434.36999983</v>
      </c>
      <c r="J70" s="104"/>
      <c r="K70" s="37">
        <f t="shared" si="6"/>
        <v>22.81212259120415</v>
      </c>
      <c r="L70" s="37">
        <f t="shared" si="7"/>
        <v>89.8204681150072</v>
      </c>
    </row>
    <row r="71" spans="2:13" ht="24" customHeight="1">
      <c r="B71" s="20" t="s">
        <v>15</v>
      </c>
      <c r="C71" s="26">
        <f>C6-C61</f>
        <v>-19428535434.799988</v>
      </c>
      <c r="D71" s="26"/>
      <c r="E71" s="26">
        <f>D6-E61</f>
        <v>17441837962.48999</v>
      </c>
      <c r="F71" s="26"/>
      <c r="G71" s="26"/>
      <c r="H71" s="26"/>
      <c r="I71" s="106"/>
      <c r="J71" s="106"/>
      <c r="K71" s="27"/>
      <c r="L71" s="27"/>
      <c r="M71" s="14"/>
    </row>
    <row r="72" spans="2:13" ht="38.25">
      <c r="B72" s="63" t="s">
        <v>83</v>
      </c>
      <c r="C72" s="64">
        <f>+C52-C64</f>
        <v>13975396711.950073</v>
      </c>
      <c r="D72" s="64"/>
      <c r="E72" s="64">
        <f>+D52-E64</f>
        <v>36606326252.57007</v>
      </c>
      <c r="F72" s="64"/>
      <c r="G72" s="64"/>
      <c r="H72" s="64"/>
      <c r="I72" s="109"/>
      <c r="J72" s="110"/>
      <c r="K72" s="27"/>
      <c r="L72" s="27"/>
      <c r="M72" s="14"/>
    </row>
    <row r="73" spans="2:13" ht="12" customHeight="1" thickBot="1">
      <c r="B73" s="65"/>
      <c r="C73" s="66"/>
      <c r="D73" s="66"/>
      <c r="E73" s="66"/>
      <c r="F73" s="2"/>
      <c r="G73" s="2"/>
      <c r="H73" s="2"/>
      <c r="I73" s="2"/>
      <c r="L73" s="11"/>
      <c r="M73" s="11"/>
    </row>
    <row r="74" spans="2:13" ht="12" customHeight="1" thickBot="1">
      <c r="B74" s="67" t="s">
        <v>77</v>
      </c>
      <c r="C74" s="66"/>
      <c r="D74" s="66"/>
      <c r="E74" s="66"/>
      <c r="F74" s="2"/>
      <c r="G74" s="2"/>
      <c r="H74" s="2"/>
      <c r="I74" s="2"/>
      <c r="L74" s="11"/>
      <c r="M74" s="11"/>
    </row>
    <row r="75" spans="2:13" ht="35.25" customHeight="1">
      <c r="B75" s="83" t="s">
        <v>78</v>
      </c>
      <c r="C75" s="78">
        <f>27521763654.68</f>
        <v>27521763654.68</v>
      </c>
      <c r="D75" s="78">
        <f>21732132155.4201</f>
        <v>21732132155.4201</v>
      </c>
      <c r="E75" s="78">
        <f>21661317428.2401</f>
        <v>21661317428.2401</v>
      </c>
      <c r="F75" s="78">
        <f>610100993.530001</f>
        <v>610100993.530001</v>
      </c>
      <c r="G75" s="78">
        <f>10649.84</f>
        <v>10649.84</v>
      </c>
      <c r="H75" s="78">
        <f>697689.78</f>
        <v>697689.78</v>
      </c>
      <c r="I75" s="105">
        <f>383511175.4</f>
        <v>383511175.4</v>
      </c>
      <c r="J75" s="105"/>
      <c r="K75" s="62">
        <f>IF($E$75=0,"",100*$E75/$E$75)</f>
        <v>100</v>
      </c>
      <c r="L75" s="62">
        <f>IF(C75=0,"",100*E75/C75)</f>
        <v>78.70613853104814</v>
      </c>
      <c r="M75" s="11"/>
    </row>
    <row r="76" spans="2:13" ht="21.75" customHeight="1">
      <c r="B76" s="80" t="s">
        <v>81</v>
      </c>
      <c r="C76" s="81">
        <f>21547327595.28</f>
        <v>21547327595.28</v>
      </c>
      <c r="D76" s="81">
        <f>17217964876.34</f>
        <v>17217964876.34</v>
      </c>
      <c r="E76" s="81">
        <f>17152342688.89</f>
        <v>17152342688.89</v>
      </c>
      <c r="F76" s="81">
        <f>526615795.8</f>
        <v>526615795.8</v>
      </c>
      <c r="G76" s="81">
        <f>0</f>
        <v>0</v>
      </c>
      <c r="H76" s="81">
        <f>696712.72</f>
        <v>696712.72</v>
      </c>
      <c r="I76" s="108">
        <f>374537253.77</f>
        <v>374537253.77</v>
      </c>
      <c r="J76" s="108"/>
      <c r="K76" s="82">
        <f>IF($E$75=0,"",100*$E76/$E$75)</f>
        <v>79.18420818914873</v>
      </c>
      <c r="L76" s="82">
        <f>IF(C76=0,"",100*E76/C76)</f>
        <v>79.60310907718907</v>
      </c>
      <c r="M76" s="11"/>
    </row>
    <row r="77" spans="2:12" ht="24" customHeight="1">
      <c r="B77" s="80" t="s">
        <v>82</v>
      </c>
      <c r="C77" s="81">
        <f aca="true" t="shared" si="10" ref="C77:I77">C75-C76</f>
        <v>5974436059.400002</v>
      </c>
      <c r="D77" s="81">
        <f t="shared" si="10"/>
        <v>4514167279.080101</v>
      </c>
      <c r="E77" s="81">
        <f t="shared" si="10"/>
        <v>4508974739.350101</v>
      </c>
      <c r="F77" s="81">
        <f t="shared" si="10"/>
        <v>83485197.73000103</v>
      </c>
      <c r="G77" s="81">
        <f t="shared" si="10"/>
        <v>10649.84</v>
      </c>
      <c r="H77" s="81">
        <f t="shared" si="10"/>
        <v>977.0600000000559</v>
      </c>
      <c r="I77" s="108">
        <f t="shared" si="10"/>
        <v>8973921.629999995</v>
      </c>
      <c r="J77" s="108"/>
      <c r="K77" s="82">
        <f>IF($E$75=0,"",100*$E77/$E$75)</f>
        <v>20.815791810851266</v>
      </c>
      <c r="L77" s="82">
        <f>IF(C77=0,"",100*E77/C77)</f>
        <v>75.47113559372376</v>
      </c>
    </row>
    <row r="78" spans="2:13" ht="20.25">
      <c r="B78" s="102" t="str">
        <f>CONCATENATE("Informacja z wykonania budżetów jednostek samorządu terytorialnego za ",$D$108," ",$C$109," roku")</f>
        <v>Informacja z wykonania budżetów jednostek samorządu terytorialnego za IV Kwartały 2021 roku</v>
      </c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</row>
    <row r="79" spans="2:8" ht="12.75">
      <c r="B79" s="43" t="s">
        <v>16</v>
      </c>
      <c r="C79" s="89" t="s">
        <v>17</v>
      </c>
      <c r="D79" s="90"/>
      <c r="E79" s="89" t="s">
        <v>1</v>
      </c>
      <c r="F79" s="90"/>
      <c r="G79" s="19" t="s">
        <v>26</v>
      </c>
      <c r="H79" s="19" t="s">
        <v>27</v>
      </c>
    </row>
    <row r="80" spans="2:8" ht="12.75">
      <c r="B80" s="43"/>
      <c r="C80" s="91" t="s">
        <v>84</v>
      </c>
      <c r="D80" s="92"/>
      <c r="E80" s="92"/>
      <c r="F80" s="93"/>
      <c r="G80" s="97" t="s">
        <v>4</v>
      </c>
      <c r="H80" s="98"/>
    </row>
    <row r="81" spans="2:8" ht="12.75">
      <c r="B81" s="41">
        <v>1</v>
      </c>
      <c r="C81" s="45">
        <v>2</v>
      </c>
      <c r="D81" s="46"/>
      <c r="E81" s="45">
        <v>3</v>
      </c>
      <c r="F81" s="46"/>
      <c r="G81" s="42">
        <v>4</v>
      </c>
      <c r="H81" s="42">
        <v>5</v>
      </c>
    </row>
    <row r="82" spans="2:8" ht="25.5">
      <c r="B82" s="40" t="s">
        <v>67</v>
      </c>
      <c r="C82" s="47">
        <f>33984628681.33</f>
        <v>33984628681.33</v>
      </c>
      <c r="D82" s="48"/>
      <c r="E82" s="47">
        <f>45099074458.66</f>
        <v>45099074458.66</v>
      </c>
      <c r="F82" s="48"/>
      <c r="G82" s="44">
        <f>IF($E$82=0,"",100*$E82/$E$82)</f>
        <v>99.99999999999999</v>
      </c>
      <c r="H82" s="36">
        <f>IF(C82=0,"",100*E82/C82)</f>
        <v>132.70433195415754</v>
      </c>
    </row>
    <row r="83" spans="2:8" ht="33.75">
      <c r="B83" s="39" t="s">
        <v>96</v>
      </c>
      <c r="C83" s="49">
        <f>13627796683.04</f>
        <v>13627796683.04</v>
      </c>
      <c r="D83" s="50"/>
      <c r="E83" s="49">
        <f>11052941328.71</f>
        <v>11052941328.71</v>
      </c>
      <c r="F83" s="50"/>
      <c r="G83" s="60">
        <f aca="true" t="shared" si="11" ref="G83:G90">IF($E$82=0,"",100*$E83/$E$82)</f>
        <v>24.508133396044883</v>
      </c>
      <c r="H83" s="61">
        <f aca="true" t="shared" si="12" ref="H83:H95">IF(C83=0,"",100*E83/C83)</f>
        <v>81.10585728407258</v>
      </c>
    </row>
    <row r="84" spans="2:8" ht="22.5">
      <c r="B84" s="30" t="s">
        <v>97</v>
      </c>
      <c r="C84" s="84">
        <f>1158234404.91</f>
        <v>1158234404.91</v>
      </c>
      <c r="D84" s="85"/>
      <c r="E84" s="84">
        <f>1110042000</f>
        <v>1110042000</v>
      </c>
      <c r="F84" s="85"/>
      <c r="G84" s="86">
        <f t="shared" si="11"/>
        <v>2.4613409772245287</v>
      </c>
      <c r="H84" s="82">
        <f t="shared" si="12"/>
        <v>95.83914925116174</v>
      </c>
    </row>
    <row r="85" spans="2:8" ht="12.75">
      <c r="B85" s="87" t="s">
        <v>98</v>
      </c>
      <c r="C85" s="84">
        <f>197999665.94</f>
        <v>197999665.94</v>
      </c>
      <c r="D85" s="85"/>
      <c r="E85" s="84">
        <f>171786424.84</f>
        <v>171786424.84</v>
      </c>
      <c r="F85" s="85"/>
      <c r="G85" s="86">
        <f t="shared" si="11"/>
        <v>0.38090898073189455</v>
      </c>
      <c r="H85" s="82">
        <f t="shared" si="12"/>
        <v>86.76096700691231</v>
      </c>
    </row>
    <row r="86" spans="2:8" ht="12.75">
      <c r="B86" s="87" t="s">
        <v>99</v>
      </c>
      <c r="C86" s="84">
        <f>1823483966.08</f>
        <v>1823483966.08</v>
      </c>
      <c r="D86" s="85"/>
      <c r="E86" s="84">
        <f>4228495984.16</f>
        <v>4228495984.16</v>
      </c>
      <c r="F86" s="85"/>
      <c r="G86" s="86">
        <f t="shared" si="11"/>
        <v>9.376014995686983</v>
      </c>
      <c r="H86" s="82">
        <f t="shared" si="12"/>
        <v>231.89104279595773</v>
      </c>
    </row>
    <row r="87" spans="2:8" ht="45">
      <c r="B87" s="87" t="s">
        <v>106</v>
      </c>
      <c r="C87" s="84">
        <f>7096656778.55</f>
        <v>7096656778.55</v>
      </c>
      <c r="D87" s="85"/>
      <c r="E87" s="84">
        <f>9356424810.15</f>
        <v>9356424810.15</v>
      </c>
      <c r="F87" s="85"/>
      <c r="G87" s="86">
        <f t="shared" si="11"/>
        <v>20.746378772643222</v>
      </c>
      <c r="H87" s="82">
        <f t="shared" si="12"/>
        <v>131.8427127324272</v>
      </c>
    </row>
    <row r="88" spans="2:8" ht="12.75">
      <c r="B88" s="87" t="s">
        <v>100</v>
      </c>
      <c r="C88" s="84">
        <f>650003.68</f>
        <v>650003.68</v>
      </c>
      <c r="D88" s="85"/>
      <c r="E88" s="84">
        <f>44431143.68</f>
        <v>44431143.68</v>
      </c>
      <c r="F88" s="85"/>
      <c r="G88" s="86">
        <f t="shared" si="11"/>
        <v>0.09851897009710862</v>
      </c>
      <c r="H88" s="82">
        <f t="shared" si="12"/>
        <v>6835.521866583893</v>
      </c>
    </row>
    <row r="89" spans="2:8" ht="33.75">
      <c r="B89" s="87" t="s">
        <v>101</v>
      </c>
      <c r="C89" s="84">
        <f>10788202446.61</f>
        <v>10788202446.61</v>
      </c>
      <c r="D89" s="85"/>
      <c r="E89" s="84">
        <f>20109119969.94</f>
        <v>20109119969.94</v>
      </c>
      <c r="F89" s="85"/>
      <c r="G89" s="86">
        <f t="shared" si="11"/>
        <v>44.5887642070637</v>
      </c>
      <c r="H89" s="82">
        <f t="shared" si="12"/>
        <v>186.39917140467574</v>
      </c>
    </row>
    <row r="90" spans="2:8" ht="12.75">
      <c r="B90" s="87" t="s">
        <v>86</v>
      </c>
      <c r="C90" s="84">
        <f>449839137.43</f>
        <v>449839137.43</v>
      </c>
      <c r="D90" s="85"/>
      <c r="E90" s="84">
        <f>135874797.18</f>
        <v>135874797.18</v>
      </c>
      <c r="F90" s="85"/>
      <c r="G90" s="86">
        <f t="shared" si="11"/>
        <v>0.3012806777321992</v>
      </c>
      <c r="H90" s="82">
        <f t="shared" si="12"/>
        <v>30.20519689688931</v>
      </c>
    </row>
    <row r="91" spans="2:8" ht="25.5">
      <c r="B91" s="40" t="s">
        <v>68</v>
      </c>
      <c r="C91" s="57">
        <f>14244069584.92</f>
        <v>14244069584.92</v>
      </c>
      <c r="D91" s="58"/>
      <c r="E91" s="57">
        <f>12483792847.49</f>
        <v>12483792847.49</v>
      </c>
      <c r="F91" s="58"/>
      <c r="G91" s="44">
        <f>IF($E$91=0,"",100*$E91/$E$91)</f>
        <v>100</v>
      </c>
      <c r="H91" s="36">
        <f t="shared" si="12"/>
        <v>87.64203778326399</v>
      </c>
    </row>
    <row r="92" spans="2:8" ht="33.75">
      <c r="B92" s="39" t="s">
        <v>102</v>
      </c>
      <c r="C92" s="49">
        <f>9857998419.87</f>
        <v>9857998419.87</v>
      </c>
      <c r="D92" s="55"/>
      <c r="E92" s="56">
        <f>9807391557.17</f>
        <v>9807391557.17</v>
      </c>
      <c r="F92" s="55"/>
      <c r="G92" s="60">
        <f>IF($E$91=0,"",100*$E92/$E$91)</f>
        <v>78.56099245624603</v>
      </c>
      <c r="H92" s="61">
        <f t="shared" si="12"/>
        <v>99.48664160264018</v>
      </c>
    </row>
    <row r="93" spans="2:8" ht="22.5">
      <c r="B93" s="30" t="s">
        <v>103</v>
      </c>
      <c r="C93" s="84">
        <f>520854711.44</f>
        <v>520854711.44</v>
      </c>
      <c r="D93" s="85"/>
      <c r="E93" s="84">
        <f>520896711.44</f>
        <v>520896711.44</v>
      </c>
      <c r="F93" s="85"/>
      <c r="G93" s="86">
        <f>IF($E$91=0,"",100*$E93/$E$91)</f>
        <v>4.172583747612665</v>
      </c>
      <c r="H93" s="82">
        <f t="shared" si="12"/>
        <v>100.00806366901892</v>
      </c>
    </row>
    <row r="94" spans="2:8" ht="12.75">
      <c r="B94" s="87" t="s">
        <v>104</v>
      </c>
      <c r="C94" s="84">
        <f>341861333.41</f>
        <v>341861333.41</v>
      </c>
      <c r="D94" s="85"/>
      <c r="E94" s="84">
        <f>294224550.02</f>
        <v>294224550.02</v>
      </c>
      <c r="F94" s="85"/>
      <c r="G94" s="86">
        <f>IF($E$91=0,"",100*$E94/$E$91)</f>
        <v>2.3568522292418286</v>
      </c>
      <c r="H94" s="82">
        <f t="shared" si="12"/>
        <v>86.06546610146505</v>
      </c>
    </row>
    <row r="95" spans="2:8" ht="12.75">
      <c r="B95" s="38" t="s">
        <v>33</v>
      </c>
      <c r="C95" s="49">
        <f>4044209831.64</f>
        <v>4044209831.64</v>
      </c>
      <c r="D95" s="52"/>
      <c r="E95" s="49">
        <f>2382176740.3</f>
        <v>2382176740.3</v>
      </c>
      <c r="F95" s="52"/>
      <c r="G95" s="60">
        <f>IF($E$91=0,"",100*$E95/$E$91)</f>
        <v>19.082155314512146</v>
      </c>
      <c r="H95" s="61">
        <f t="shared" si="12"/>
        <v>58.90339125489898</v>
      </c>
    </row>
    <row r="97" spans="2:8" ht="12.75">
      <c r="B97" s="43" t="s">
        <v>16</v>
      </c>
      <c r="C97" s="89" t="s">
        <v>17</v>
      </c>
      <c r="D97" s="90"/>
      <c r="E97" s="89" t="s">
        <v>1</v>
      </c>
      <c r="F97" s="90"/>
      <c r="G97" s="19" t="s">
        <v>26</v>
      </c>
      <c r="H97" s="19" t="s">
        <v>27</v>
      </c>
    </row>
    <row r="98" spans="2:8" ht="12.75">
      <c r="B98" s="43"/>
      <c r="C98" s="91" t="s">
        <v>84</v>
      </c>
      <c r="D98" s="92"/>
      <c r="E98" s="92"/>
      <c r="F98" s="93"/>
      <c r="G98" s="97" t="s">
        <v>4</v>
      </c>
      <c r="H98" s="98"/>
    </row>
    <row r="99" spans="2:8" ht="12.75">
      <c r="B99" s="41">
        <v>1</v>
      </c>
      <c r="C99" s="45">
        <v>2</v>
      </c>
      <c r="D99" s="46"/>
      <c r="E99" s="45">
        <v>3</v>
      </c>
      <c r="F99" s="46"/>
      <c r="G99" s="42">
        <v>4</v>
      </c>
      <c r="H99" s="42">
        <v>5</v>
      </c>
    </row>
    <row r="100" spans="2:8" ht="22.5">
      <c r="B100" s="59" t="s">
        <v>87</v>
      </c>
      <c r="C100" s="54">
        <f>20694816571.21</f>
        <v>20694816571.21</v>
      </c>
      <c r="D100" s="51"/>
      <c r="E100" s="54">
        <f>1917902629.04</f>
        <v>1917902629.04</v>
      </c>
      <c r="F100" s="48"/>
      <c r="G100" s="44"/>
      <c r="H100" s="36"/>
    </row>
    <row r="101" spans="2:8" ht="56.25">
      <c r="B101" s="53" t="s">
        <v>88</v>
      </c>
      <c r="C101" s="56">
        <f>747301161.26</f>
        <v>747301161.26</v>
      </c>
      <c r="D101" s="55"/>
      <c r="E101" s="56">
        <f>48705250.65</f>
        <v>48705250.65</v>
      </c>
      <c r="F101" s="55"/>
      <c r="G101" s="60"/>
      <c r="H101" s="61"/>
    </row>
    <row r="102" spans="2:8" ht="12.75">
      <c r="B102" s="53" t="s">
        <v>89</v>
      </c>
      <c r="C102" s="56">
        <f>7664323785.53</f>
        <v>7664323785.53</v>
      </c>
      <c r="D102" s="55"/>
      <c r="E102" s="56">
        <f>1080670596.34</f>
        <v>1080670596.34</v>
      </c>
      <c r="F102" s="55"/>
      <c r="G102" s="60"/>
      <c r="H102" s="61"/>
    </row>
    <row r="103" spans="2:8" ht="33.75">
      <c r="B103" s="53" t="s">
        <v>90</v>
      </c>
      <c r="C103" s="56">
        <f>650003.68</f>
        <v>650003.68</v>
      </c>
      <c r="D103" s="55"/>
      <c r="E103" s="56">
        <f>0</f>
        <v>0</v>
      </c>
      <c r="F103" s="55"/>
      <c r="G103" s="60"/>
      <c r="H103" s="61"/>
    </row>
    <row r="104" spans="2:8" ht="33.75">
      <c r="B104" s="53" t="s">
        <v>91</v>
      </c>
      <c r="C104" s="56">
        <f>935428391.27</f>
        <v>935428391.27</v>
      </c>
      <c r="D104" s="55"/>
      <c r="E104" s="56">
        <f>74774659.18</f>
        <v>74774659.18</v>
      </c>
      <c r="F104" s="55"/>
      <c r="G104" s="60"/>
      <c r="H104" s="61"/>
    </row>
    <row r="105" spans="2:8" ht="101.25">
      <c r="B105" s="53" t="s">
        <v>92</v>
      </c>
      <c r="C105" s="56">
        <f>6017770585.5</f>
        <v>6017770585.5</v>
      </c>
      <c r="D105" s="55"/>
      <c r="E105" s="56">
        <f>304143291.07</f>
        <v>304143291.07</v>
      </c>
      <c r="F105" s="55"/>
      <c r="G105" s="60"/>
      <c r="H105" s="61"/>
    </row>
    <row r="108" spans="2:4" ht="12.75">
      <c r="B108" s="31" t="s">
        <v>69</v>
      </c>
      <c r="C108" s="31">
        <f>4</f>
        <v>4</v>
      </c>
      <c r="D108" s="31" t="str">
        <f>IF(C108=1,"I Kwartał",IF(C108=2,"II Kwartały",IF(C108=3,"III Kwartały",IF(C108=4,"IV Kwartały","-"))))</f>
        <v>IV Kwartały</v>
      </c>
    </row>
    <row r="109" spans="2:3" ht="12.75">
      <c r="B109" s="31" t="s">
        <v>70</v>
      </c>
      <c r="C109" s="31">
        <f>2021</f>
        <v>2021</v>
      </c>
    </row>
    <row r="110" spans="2:3" ht="12.75">
      <c r="B110" s="31" t="s">
        <v>71</v>
      </c>
      <c r="C110" s="32" t="str">
        <f>"Mar 21 2022 12:00AM"</f>
        <v>Mar 21 2022 12:00AM</v>
      </c>
    </row>
  </sheetData>
  <sheetProtection/>
  <mergeCells count="42">
    <mergeCell ref="I77:J77"/>
    <mergeCell ref="I69:J69"/>
    <mergeCell ref="I67:J67"/>
    <mergeCell ref="I68:J68"/>
    <mergeCell ref="I70:J70"/>
    <mergeCell ref="I71:J71"/>
    <mergeCell ref="I75:J75"/>
    <mergeCell ref="I76:J76"/>
    <mergeCell ref="I72:J72"/>
    <mergeCell ref="B1:M1"/>
    <mergeCell ref="B3:B4"/>
    <mergeCell ref="K4:M4"/>
    <mergeCell ref="C4:J4"/>
    <mergeCell ref="B54:M54"/>
    <mergeCell ref="I60:J60"/>
    <mergeCell ref="C59:J59"/>
    <mergeCell ref="I66:J66"/>
    <mergeCell ref="I61:J61"/>
    <mergeCell ref="I62:J62"/>
    <mergeCell ref="I63:J63"/>
    <mergeCell ref="I64:J64"/>
    <mergeCell ref="I65:J65"/>
    <mergeCell ref="C97:D97"/>
    <mergeCell ref="E97:F97"/>
    <mergeCell ref="C98:F98"/>
    <mergeCell ref="G98:H98"/>
    <mergeCell ref="B78:M78"/>
    <mergeCell ref="I56:J58"/>
    <mergeCell ref="D56:D58"/>
    <mergeCell ref="E56:E58"/>
    <mergeCell ref="F57:F58"/>
    <mergeCell ref="F56:H56"/>
    <mergeCell ref="C79:D79"/>
    <mergeCell ref="E79:F79"/>
    <mergeCell ref="C80:F80"/>
    <mergeCell ref="C56:C58"/>
    <mergeCell ref="B56:B59"/>
    <mergeCell ref="K56:K58"/>
    <mergeCell ref="K59:L59"/>
    <mergeCell ref="G80:H80"/>
    <mergeCell ref="G57:H57"/>
    <mergeCell ref="L56:L58"/>
  </mergeCells>
  <printOptions/>
  <pageMargins left="0.1968503937007874" right="0.1968503937007874" top="0.5511811023622047" bottom="0.3937007874015748" header="0.31496062992125984" footer="0.1968503937007874"/>
  <pageSetup firstPageNumber="1" useFirstPageNumber="1" horizontalDpi="600" verticalDpi="600" orientation="landscape" paperSize="9" scale="55" r:id="rId3"/>
  <headerFooter alignWithMargins="0">
    <oddFooter>&amp;RStrona &amp;P z &amp;N</oddFooter>
  </headerFooter>
  <rowBreaks count="3" manualBreakCount="3">
    <brk id="21" max="255" man="1"/>
    <brk id="53" max="255" man="1"/>
    <brk id="77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Karolak</dc:creator>
  <cp:keywords/>
  <dc:description/>
  <cp:lastModifiedBy>Kołacz Bernard</cp:lastModifiedBy>
  <cp:lastPrinted>2018-03-19T09:12:59Z</cp:lastPrinted>
  <dcterms:created xsi:type="dcterms:W3CDTF">2001-05-17T08:58:03Z</dcterms:created>
  <dcterms:modified xsi:type="dcterms:W3CDTF">2022-04-05T07:02:53Z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MF\HHCY;Kołacz Bernard</vt:lpwstr>
  </property>
  <property fmtid="{D5CDD505-2E9C-101B-9397-08002B2CF9AE}" pid="4" name="MFClassificationDate">
    <vt:lpwstr>2022-04-05T09:02:50.6086193+02:00</vt:lpwstr>
  </property>
  <property fmtid="{D5CDD505-2E9C-101B-9397-08002B2CF9AE}" pid="5" name="MFClassifiedBySID">
    <vt:lpwstr>MF\S-1-5-21-1525952054-1005573771-2909822258-435687</vt:lpwstr>
  </property>
  <property fmtid="{D5CDD505-2E9C-101B-9397-08002B2CF9AE}" pid="6" name="MFGRNItemId">
    <vt:lpwstr>GRN-f5c95535-ee6f-46e0-a3ab-afc273855604</vt:lpwstr>
  </property>
  <property fmtid="{D5CDD505-2E9C-101B-9397-08002B2CF9AE}" pid="7" name="MFHash">
    <vt:lpwstr>UZW6NRa+dtQWFzIAu/FgSLDIHMr+TgVkqNebH+UOIiY=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