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<sst xmlns="http://schemas.openxmlformats.org/spreadsheetml/2006/main" count="261" uniqueCount="114">
  <si>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</si>
  <si>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</si>
  <si>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</si>
  <si>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</si>
  <si>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</si>
  <si>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</si>
  <si>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</si>
  <si>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</si>
  <si>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</si>
  <si>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</si>
  <si>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</si>
  <si>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</si>
  <si>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</si>
  <si>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</si>
  <si>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</si>
  <si>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</si>
  <si>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</si>
  <si>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</si>
  <si>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</si>
  <si>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</si>
  <si>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</si>
  <si>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</si>
  <si>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</si>
  <si>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</si>
  <si>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</si>
  <si>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</si>
  <si>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</si>
  <si>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</si>
  <si>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</si>
  <si>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</si>
  <si>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</si>
  <si>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</si>
  <si>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</si>
  <si>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</si>
  <si>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</si>
  <si>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</si>
  <si>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</si>
  <si>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</si>
  <si>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</si>
  <si>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</si>
  <si>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</si>
  <si>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</si>
  <si>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</si>
  <si>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</si>
  <si>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</si>
  <si>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</si>
  <si>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</si>
  <si>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</si>
  <si>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</si>
  <si>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</si>
  <si>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</si>
  <si>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</si>
  <si>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</si>
  <si>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</si>
  <si>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</si>
  <si>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</si>
  <si>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</si>
  <si>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</si>
  <si>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</si>
  <si>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</si>
  <si>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</si>
  <si>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</si>
  <si>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</si>
  <si>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</si>
  <si>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</si>
  <si>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</si>
  <si>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</si>
  <si>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</si>
  <si>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</si>
  <si>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</si>
  <si>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</si>
  <si>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</si>
  <si>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</si>
  <si>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</si>
  <si>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</si>
  <si>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</si>
  <si>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</si>
  <si>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</si>
  <si>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</si>
  <si>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</si>
  <si>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</si>
  <si>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</si>
  <si>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</si>
  <si>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</si>
  <si>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</si>
  <si>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</si>
  <si>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</si>
  <si>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</si>
  <si>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</si>
  <si>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</si>
  <si>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</si>
  <si>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</si>
  <si>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</si>
  <si>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</si>
  <si>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</si>
  <si>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</si>
  <si>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</si>
  <si>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</si>
  <si>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</si>
  <si>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</si>
  <si>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</si>
  <si>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</si>
  <si>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</si>
  <si>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</si>
  <si>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</si>
  <si>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</si>
  <si>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</si>
  <si>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</si>
  <si>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</si>
  <si>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</si>
  <si>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</si>
  <si>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</si>
  <si>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</si>
  <si>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 Kwartał 2020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</si>
</sst>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293492568918.86</f>
        <v>293492568918.86</v>
      </c>
      <c r="D6" s="69">
        <f>76710883519.08</f>
        <v>76710883519.08</v>
      </c>
      <c r="E6" s="69">
        <f>71624962168.6</f>
        <v>71624962168.6</v>
      </c>
      <c r="F6" s="69">
        <f>852214064.61</f>
        <v>852214064.61</v>
      </c>
      <c r="G6" s="69">
        <f>224706249.21</f>
        <v>224706249.21</v>
      </c>
      <c r="H6" s="69">
        <f>25436479.33</f>
        <v>25436479.33</v>
      </c>
      <c r="I6" s="69">
        <f>109817538.76</f>
        <v>109817538.76</v>
      </c>
      <c r="J6" s="69">
        <f>3465770.99</f>
        <v>3465770.99</v>
      </c>
      <c r="K6" s="70">
        <f aca="true" t="shared" si="0" ref="K6:K46">IF($D$6=0,"",100*$D6/$D$6)</f>
        <v>100</v>
      </c>
      <c r="L6" s="70">
        <f aca="true" t="shared" si="1" ref="L6:L50">IF(C6=0,"",100*D6/C6)</f>
        <v>26.13724899463733</v>
      </c>
      <c r="M6" s="70"/>
    </row>
    <row r="7" spans="2:13" ht="38.25" customHeight="1">
      <c r="B7" s="20" t="s">
        <v>62</v>
      </c>
      <c r="C7" s="25">
        <f>C6-C22-C40</f>
        <v>139542445570.28998</v>
      </c>
      <c r="D7" s="25">
        <f>D6-D22-D40</f>
        <v>33402471234.42</v>
      </c>
      <c r="E7" s="25">
        <f>E6-E22-E40</f>
        <v>32218835215.380005</v>
      </c>
      <c r="F7" s="25">
        <f>F6</f>
        <v>852214064.61</v>
      </c>
      <c r="G7" s="25">
        <f>G6</f>
        <v>224706249.21</v>
      </c>
      <c r="H7" s="25">
        <f>H6</f>
        <v>25436479.33</v>
      </c>
      <c r="I7" s="25">
        <f>I6</f>
        <v>109817538.76</v>
      </c>
      <c r="J7" s="25">
        <f>J6</f>
        <v>3465770.99</v>
      </c>
      <c r="K7" s="31">
        <f t="shared" si="0"/>
        <v>43.543327494216555</v>
      </c>
      <c r="L7" s="31">
        <f t="shared" si="1"/>
        <v>23.93714048647269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10975606894.93</f>
        <v>10975606894.93</v>
      </c>
      <c r="D8" s="23">
        <f>2635293576.61</f>
        <v>2635293576.61</v>
      </c>
      <c r="E8" s="23">
        <f>2632946423.87</f>
        <v>2632946423.87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3.4353581339661323</v>
      </c>
      <c r="L8" s="32">
        <f t="shared" si="1"/>
        <v>24.0104588460373</v>
      </c>
      <c r="M8" s="32">
        <f t="shared" si="2"/>
        <v>7.889516790884707</v>
      </c>
    </row>
    <row r="9" spans="2:13" ht="32.25" customHeight="1">
      <c r="B9" s="21" t="s">
        <v>19</v>
      </c>
      <c r="C9" s="23">
        <f>56623205866.99</f>
        <v>56623205866.99</v>
      </c>
      <c r="D9" s="23">
        <f>11902065833</f>
        <v>11902065833</v>
      </c>
      <c r="E9" s="23">
        <f>10824287830.89</f>
        <v>10824287830.89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15.515485270143767</v>
      </c>
      <c r="L9" s="32">
        <f t="shared" si="1"/>
        <v>21.019766808962377</v>
      </c>
      <c r="M9" s="32">
        <f t="shared" si="2"/>
        <v>35.63229124417407</v>
      </c>
    </row>
    <row r="10" spans="2:13" ht="32.25" customHeight="1">
      <c r="B10" s="21" t="s">
        <v>20</v>
      </c>
      <c r="C10" s="23">
        <f>1640664952.73</f>
        <v>1640664952.73</v>
      </c>
      <c r="D10" s="23">
        <f>561840981.35</f>
        <v>561840981.35</v>
      </c>
      <c r="E10" s="23">
        <f>561545804.14</f>
        <v>561545804.14</v>
      </c>
      <c r="F10" s="23">
        <f>43272322.66</f>
        <v>43272322.66</v>
      </c>
      <c r="G10" s="23">
        <f>461815.25</f>
        <v>461815.25</v>
      </c>
      <c r="H10" s="23">
        <f>1282827.4</f>
        <v>1282827.4</v>
      </c>
      <c r="I10" s="23">
        <f>1506171.63</f>
        <v>1506171.63</v>
      </c>
      <c r="J10" s="24">
        <f>935.69</f>
        <v>935.69</v>
      </c>
      <c r="K10" s="32">
        <f t="shared" si="0"/>
        <v>0.7324136492447717</v>
      </c>
      <c r="L10" s="32">
        <f t="shared" si="1"/>
        <v>34.24471159788715</v>
      </c>
      <c r="M10" s="32">
        <f t="shared" si="2"/>
        <v>1.6820341746782013</v>
      </c>
    </row>
    <row r="11" spans="2:13" ht="32.25" customHeight="1">
      <c r="B11" s="21" t="s">
        <v>21</v>
      </c>
      <c r="C11" s="23">
        <f>24273226042.48</f>
        <v>24273226042.48</v>
      </c>
      <c r="D11" s="23">
        <f>6711353889.48</f>
        <v>6711353889.48</v>
      </c>
      <c r="E11" s="23">
        <f>6708199101.84</f>
        <v>6708199101.84</v>
      </c>
      <c r="F11" s="23">
        <f>525464910.79</f>
        <v>525464910.79</v>
      </c>
      <c r="G11" s="23">
        <f>219763127.67</f>
        <v>219763127.67</v>
      </c>
      <c r="H11" s="23">
        <f>19894699.48</f>
        <v>19894699.48</v>
      </c>
      <c r="I11" s="23">
        <f>85827438.07</f>
        <v>85827438.07</v>
      </c>
      <c r="J11" s="24">
        <f>3126913.7</f>
        <v>3126913.7</v>
      </c>
      <c r="K11" s="32">
        <f t="shared" si="0"/>
        <v>8.748894005126028</v>
      </c>
      <c r="L11" s="32">
        <f t="shared" si="1"/>
        <v>27.649204426863648</v>
      </c>
      <c r="M11" s="32">
        <f t="shared" si="2"/>
        <v>20.092387303859724</v>
      </c>
    </row>
    <row r="12" spans="2:13" ht="32.25" customHeight="1">
      <c r="B12" s="21" t="s">
        <v>22</v>
      </c>
      <c r="C12" s="23">
        <f>304809234.81</f>
        <v>304809234.81</v>
      </c>
      <c r="D12" s="23">
        <f>93844230.38</f>
        <v>93844230.38</v>
      </c>
      <c r="E12" s="23">
        <f>93837956.18</f>
        <v>93837956.18</v>
      </c>
      <c r="F12" s="23">
        <f>747074.9</f>
        <v>747074.9</v>
      </c>
      <c r="G12" s="23">
        <f>240410.02</f>
        <v>240410.02</v>
      </c>
      <c r="H12" s="23">
        <f>54494.02</f>
        <v>54494.02</v>
      </c>
      <c r="I12" s="23">
        <f>20027.61</f>
        <v>20027.61</v>
      </c>
      <c r="J12" s="24">
        <f>67.39</f>
        <v>67.39</v>
      </c>
      <c r="K12" s="32">
        <f t="shared" si="0"/>
        <v>0.12233496223082672</v>
      </c>
      <c r="L12" s="32">
        <f t="shared" si="1"/>
        <v>30.787856686329377</v>
      </c>
      <c r="M12" s="32">
        <f t="shared" si="2"/>
        <v>0.28094996241863995</v>
      </c>
    </row>
    <row r="13" spans="2:13" ht="32.25" customHeight="1">
      <c r="B13" s="21" t="s">
        <v>23</v>
      </c>
      <c r="C13" s="23">
        <f>1202933701.16</f>
        <v>1202933701.16</v>
      </c>
      <c r="D13" s="23">
        <f>510722663.57</f>
        <v>510722663.57</v>
      </c>
      <c r="E13" s="23">
        <f>510378860.01</f>
        <v>510378860.01</v>
      </c>
      <c r="F13" s="23">
        <f>280595879.11</f>
        <v>280595879.11</v>
      </c>
      <c r="G13" s="23">
        <f>670659.87</f>
        <v>670659.87</v>
      </c>
      <c r="H13" s="23">
        <f>565916.12</f>
        <v>565916.12</v>
      </c>
      <c r="I13" s="23">
        <f>6833076.16</f>
        <v>6833076.16</v>
      </c>
      <c r="J13" s="24">
        <f>844.54</f>
        <v>844.54</v>
      </c>
      <c r="K13" s="32">
        <f t="shared" si="0"/>
        <v>0.6657760152677291</v>
      </c>
      <c r="L13" s="32">
        <f t="shared" si="1"/>
        <v>42.45642657425803</v>
      </c>
      <c r="M13" s="32">
        <f t="shared" si="2"/>
        <v>1.528996642151792</v>
      </c>
    </row>
    <row r="14" spans="2:13" ht="43.5" customHeight="1">
      <c r="B14" s="21" t="s">
        <v>46</v>
      </c>
      <c r="C14" s="23">
        <f>66716315.87</f>
        <v>66716315.87</v>
      </c>
      <c r="D14" s="23">
        <f>7019431.08</f>
        <v>7019431.08</v>
      </c>
      <c r="E14" s="23">
        <f>7416559.41</f>
        <v>7416559.41</v>
      </c>
      <c r="F14" s="23">
        <f>0</f>
        <v>0</v>
      </c>
      <c r="G14" s="23">
        <f>0</f>
        <v>0</v>
      </c>
      <c r="H14" s="23">
        <f>905</f>
        <v>905</v>
      </c>
      <c r="I14" s="23">
        <f>146984.23</f>
        <v>146984.23</v>
      </c>
      <c r="J14" s="24">
        <f>0</f>
        <v>0</v>
      </c>
      <c r="K14" s="32">
        <f t="shared" si="0"/>
        <v>0.009150502194716716</v>
      </c>
      <c r="L14" s="32">
        <f t="shared" si="1"/>
        <v>10.52131099936289</v>
      </c>
      <c r="M14" s="32">
        <f t="shared" si="2"/>
        <v>0.021014705860345862</v>
      </c>
    </row>
    <row r="15" spans="2:13" ht="32.25" customHeight="1">
      <c r="B15" s="21" t="s">
        <v>28</v>
      </c>
      <c r="C15" s="23">
        <f>271898248.97</f>
        <v>271898248.97</v>
      </c>
      <c r="D15" s="23">
        <f>86183302.16</f>
        <v>86183302.16</v>
      </c>
      <c r="E15" s="23">
        <f>81255384.81</f>
        <v>81255384.81</v>
      </c>
      <c r="F15" s="23">
        <f>0</f>
        <v>0</v>
      </c>
      <c r="G15" s="23">
        <f>0</f>
        <v>0</v>
      </c>
      <c r="H15" s="23">
        <f>1119508.24</f>
        <v>1119508.24</v>
      </c>
      <c r="I15" s="23">
        <f>4238353.65</f>
        <v>4238353.65</v>
      </c>
      <c r="J15" s="24">
        <f>0</f>
        <v>0</v>
      </c>
      <c r="K15" s="32">
        <f t="shared" si="0"/>
        <v>0.11234820693802068</v>
      </c>
      <c r="L15" s="32">
        <f t="shared" si="1"/>
        <v>31.696894881257236</v>
      </c>
      <c r="M15" s="32">
        <f t="shared" si="2"/>
        <v>0.25801474853510636</v>
      </c>
    </row>
    <row r="16" spans="2:13" ht="32.25" customHeight="1">
      <c r="B16" s="21" t="s">
        <v>29</v>
      </c>
      <c r="C16" s="23">
        <f>2567290419</f>
        <v>2567290419</v>
      </c>
      <c r="D16" s="23">
        <f>777352830.1</f>
        <v>777352830.1</v>
      </c>
      <c r="E16" s="23">
        <f>787299342.28</f>
        <v>787299342.28</v>
      </c>
      <c r="F16" s="23">
        <f>0</f>
        <v>0</v>
      </c>
      <c r="G16" s="23">
        <f>0</f>
        <v>0</v>
      </c>
      <c r="H16" s="23">
        <f>30933.35</f>
        <v>30933.35</v>
      </c>
      <c r="I16" s="23">
        <f>417423.79</f>
        <v>417423.79</v>
      </c>
      <c r="J16" s="24">
        <f>0</f>
        <v>0</v>
      </c>
      <c r="K16" s="32">
        <f t="shared" si="0"/>
        <v>1.0133540306658728</v>
      </c>
      <c r="L16" s="32">
        <f t="shared" si="1"/>
        <v>30.279115457564444</v>
      </c>
      <c r="M16" s="32">
        <f t="shared" si="2"/>
        <v>2.3272314932763627</v>
      </c>
    </row>
    <row r="17" spans="2:13" ht="32.25" customHeight="1">
      <c r="B17" s="21" t="s">
        <v>30</v>
      </c>
      <c r="C17" s="23">
        <f>502230090.32</f>
        <v>502230090.32</v>
      </c>
      <c r="D17" s="23">
        <f>126365016.74</f>
        <v>126365016.74</v>
      </c>
      <c r="E17" s="23">
        <f>126281943.64</f>
        <v>126281943.64</v>
      </c>
      <c r="F17" s="23">
        <f>0</f>
        <v>0</v>
      </c>
      <c r="G17" s="23">
        <f>0</f>
        <v>0</v>
      </c>
      <c r="H17" s="23">
        <f>4164</f>
        <v>4164</v>
      </c>
      <c r="I17" s="23">
        <f>19489</f>
        <v>19489</v>
      </c>
      <c r="J17" s="24">
        <f>0</f>
        <v>0</v>
      </c>
      <c r="K17" s="32">
        <f t="shared" si="0"/>
        <v>0.16472892885997034</v>
      </c>
      <c r="L17" s="32">
        <f t="shared" si="1"/>
        <v>25.160781716500797</v>
      </c>
      <c r="M17" s="32">
        <f t="shared" si="2"/>
        <v>0.37831038264553785</v>
      </c>
    </row>
    <row r="18" spans="2:13" ht="32.25" customHeight="1">
      <c r="B18" s="21" t="s">
        <v>31</v>
      </c>
      <c r="C18" s="23">
        <f>412633683.08</f>
        <v>412633683.08</v>
      </c>
      <c r="D18" s="23">
        <f>213310402.67</f>
        <v>213310402.67</v>
      </c>
      <c r="E18" s="23">
        <f>213232781.37</f>
        <v>213232781.37</v>
      </c>
      <c r="F18" s="23">
        <f>0</f>
        <v>0</v>
      </c>
      <c r="G18" s="23">
        <f>0</f>
        <v>0</v>
      </c>
      <c r="H18" s="23">
        <f>0</f>
        <v>0</v>
      </c>
      <c r="I18" s="23">
        <f>635514.15</f>
        <v>635514.15</v>
      </c>
      <c r="J18" s="24">
        <f>0</f>
        <v>0</v>
      </c>
      <c r="K18" s="32">
        <f t="shared" si="0"/>
        <v>0.2780705851431683</v>
      </c>
      <c r="L18" s="32">
        <f t="shared" si="1"/>
        <v>51.69485948839618</v>
      </c>
      <c r="M18" s="32">
        <f t="shared" si="2"/>
        <v>0.638606650307333</v>
      </c>
    </row>
    <row r="19" spans="2:13" ht="32.25" customHeight="1">
      <c r="B19" s="21" t="s">
        <v>32</v>
      </c>
      <c r="C19" s="23">
        <f>140918754.9</f>
        <v>140918754.9</v>
      </c>
      <c r="D19" s="23">
        <f>17135566.56</f>
        <v>17135566.56</v>
      </c>
      <c r="E19" s="23">
        <f>17130649.16</f>
        <v>17130649.16</v>
      </c>
      <c r="F19" s="23">
        <f>390287.17</f>
        <v>390287.17</v>
      </c>
      <c r="G19" s="23">
        <f>0</f>
        <v>0</v>
      </c>
      <c r="H19" s="23">
        <f>2805</f>
        <v>2805</v>
      </c>
      <c r="I19" s="23">
        <f>12234</f>
        <v>12234</v>
      </c>
      <c r="J19" s="24">
        <f>0</f>
        <v>0</v>
      </c>
      <c r="K19" s="32">
        <f t="shared" si="0"/>
        <v>0.022337855821642223</v>
      </c>
      <c r="L19" s="32">
        <f t="shared" si="1"/>
        <v>12.159890691739285</v>
      </c>
      <c r="M19" s="32">
        <f t="shared" si="2"/>
        <v>0.05130029583662192</v>
      </c>
    </row>
    <row r="20" spans="2:13" ht="32.25" customHeight="1">
      <c r="B20" s="21" t="s">
        <v>24</v>
      </c>
      <c r="C20" s="23">
        <f>9067769343.96</f>
        <v>9067769343.96</v>
      </c>
      <c r="D20" s="23">
        <f>1808828832.46</f>
        <v>1808828832.46</v>
      </c>
      <c r="E20" s="23">
        <f>1804824587.48</f>
        <v>1804824587.48</v>
      </c>
      <c r="F20" s="23">
        <f>0</f>
        <v>0</v>
      </c>
      <c r="G20" s="23">
        <f>1427.17</f>
        <v>1427.17</v>
      </c>
      <c r="H20" s="23">
        <f>0</f>
        <v>0</v>
      </c>
      <c r="I20" s="23">
        <f>144868.1</f>
        <v>144868.1</v>
      </c>
      <c r="J20" s="24">
        <f>0</f>
        <v>0</v>
      </c>
      <c r="K20" s="32">
        <f t="shared" si="0"/>
        <v>2.357982009176178</v>
      </c>
      <c r="L20" s="32">
        <f t="shared" si="1"/>
        <v>19.94789196600874</v>
      </c>
      <c r="M20" s="32">
        <f t="shared" si="2"/>
        <v>5.415254517444414</v>
      </c>
    </row>
    <row r="21" spans="2:13" ht="32.25" customHeight="1">
      <c r="B21" s="21" t="s">
        <v>25</v>
      </c>
      <c r="C21" s="23">
        <f>C7-C8-C9-C10-C11-C12-C13-C14-C15-C16-C17-C18-C19-C20</f>
        <v>31492542021.089996</v>
      </c>
      <c r="D21" s="23">
        <f aca="true" t="shared" si="3" ref="D21:J21">D7-D8-D9-D10-D11-D12-D13-D14-D15-D16-D17-D18-D19-D20</f>
        <v>7951154678.260001</v>
      </c>
      <c r="E21" s="23">
        <f t="shared" si="3"/>
        <v>7850197990.300007</v>
      </c>
      <c r="F21" s="23">
        <f t="shared" si="3"/>
        <v>1743589.9800000358</v>
      </c>
      <c r="G21" s="23">
        <f t="shared" si="3"/>
        <v>3568809.230000022</v>
      </c>
      <c r="H21" s="23">
        <f t="shared" si="3"/>
        <v>2480226.7199999993</v>
      </c>
      <c r="I21" s="23">
        <f t="shared" si="3"/>
        <v>10015958.370000018</v>
      </c>
      <c r="J21" s="24">
        <f t="shared" si="3"/>
        <v>337009.6700000001</v>
      </c>
      <c r="K21" s="32">
        <f t="shared" si="0"/>
        <v>10.365093339437736</v>
      </c>
      <c r="L21" s="32">
        <f t="shared" si="1"/>
        <v>25.247738569135684</v>
      </c>
      <c r="M21" s="32">
        <f t="shared" si="2"/>
        <v>23.80409108792715</v>
      </c>
    </row>
    <row r="22" spans="2:13" ht="36.75" customHeight="1">
      <c r="B22" s="68" t="s">
        <v>70</v>
      </c>
      <c r="C22" s="69">
        <f>C23+C36+C38</f>
        <v>88399316054.56999</v>
      </c>
      <c r="D22" s="69">
        <f>D23+D36+D38</f>
        <v>20309844965.66</v>
      </c>
      <c r="E22" s="69">
        <f>E23+E36+E38</f>
        <v>20106306128.010002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26.475832416411173</v>
      </c>
      <c r="L22" s="70">
        <f t="shared" si="1"/>
        <v>22.97511550103225</v>
      </c>
      <c r="M22" s="73"/>
    </row>
    <row r="23" spans="2:13" ht="36.75" customHeight="1">
      <c r="B23" s="68" t="s">
        <v>63</v>
      </c>
      <c r="C23" s="69">
        <f>C24+C26+C28+C30+C32+C34</f>
        <v>64691177215.81999</v>
      </c>
      <c r="D23" s="69">
        <f>D24+D26+D28+D30+D32+D34</f>
        <v>16967663797.4</v>
      </c>
      <c r="E23" s="69">
        <f>E24+E26+E28+E30+E32+E34</f>
        <v>16802901092.72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22.118978453923944</v>
      </c>
      <c r="L23" s="70">
        <f t="shared" si="1"/>
        <v>26.228713910697888</v>
      </c>
      <c r="M23" s="73"/>
    </row>
    <row r="24" spans="2:13" ht="33.75" customHeight="1">
      <c r="B24" s="71" t="s">
        <v>9</v>
      </c>
      <c r="C24" s="24">
        <f>56758217794.2</f>
        <v>56758217794.2</v>
      </c>
      <c r="D24" s="24">
        <f>15624570798.88</f>
        <v>15624570798.88</v>
      </c>
      <c r="E24" s="24">
        <f>15472125701.11</f>
        <v>15472125701.11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20.36812780939195</v>
      </c>
      <c r="L24" s="32">
        <f t="shared" si="1"/>
        <v>27.528297057411557</v>
      </c>
      <c r="M24" s="28"/>
    </row>
    <row r="25" spans="2:13" ht="21" customHeight="1">
      <c r="B25" s="74" t="s">
        <v>6</v>
      </c>
      <c r="C25" s="24">
        <f>111051531.43</f>
        <v>111051531.43</v>
      </c>
      <c r="D25" s="24">
        <f>65463233.7</f>
        <v>65463233.7</v>
      </c>
      <c r="E25" s="24">
        <f>65463232.11</f>
        <v>65463232.11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0.08533760882015859</v>
      </c>
      <c r="L25" s="32">
        <f t="shared" si="1"/>
        <v>58.94851953596332</v>
      </c>
      <c r="M25" s="28"/>
    </row>
    <row r="26" spans="2:13" ht="33.75" customHeight="1">
      <c r="B26" s="71" t="s">
        <v>7</v>
      </c>
      <c r="C26" s="24">
        <f>4993239693.53</f>
        <v>4993239693.53</v>
      </c>
      <c r="D26" s="24">
        <f>885505216.51</f>
        <v>885505216.51</v>
      </c>
      <c r="E26" s="24">
        <f>875725758.23</f>
        <v>875725758.23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1.1543410476946883</v>
      </c>
      <c r="L26" s="32">
        <f t="shared" si="1"/>
        <v>17.734081895916095</v>
      </c>
      <c r="M26" s="28"/>
    </row>
    <row r="27" spans="2:13" ht="21" customHeight="1">
      <c r="B27" s="74" t="s">
        <v>6</v>
      </c>
      <c r="C27" s="24">
        <f>580860985.02</f>
        <v>580860985.02</v>
      </c>
      <c r="D27" s="24">
        <f>27329844.89</f>
        <v>27329844.89</v>
      </c>
      <c r="E27" s="24">
        <f>25018992.82</f>
        <v>25018992.82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0.03562707615432738</v>
      </c>
      <c r="L27" s="32">
        <f t="shared" si="1"/>
        <v>4.705057766800948</v>
      </c>
      <c r="M27" s="28"/>
    </row>
    <row r="28" spans="2:13" ht="39.75" customHeight="1">
      <c r="B28" s="71" t="s">
        <v>10</v>
      </c>
      <c r="C28" s="24">
        <f>184152302.52</f>
        <v>184152302.52</v>
      </c>
      <c r="D28" s="24">
        <f>60331030.93</f>
        <v>60331030.93</v>
      </c>
      <c r="E28" s="24">
        <f>59349363.77</f>
        <v>59349363.77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0.07864728987900928</v>
      </c>
      <c r="L28" s="32">
        <f t="shared" si="1"/>
        <v>32.76148606583276</v>
      </c>
      <c r="M28" s="28"/>
    </row>
    <row r="29" spans="2:13" ht="21" customHeight="1">
      <c r="B29" s="74" t="s">
        <v>6</v>
      </c>
      <c r="C29" s="24">
        <f>43482059.48</f>
        <v>43482059.48</v>
      </c>
      <c r="D29" s="24">
        <f>45510</f>
        <v>45510</v>
      </c>
      <c r="E29" s="24">
        <f>45510</f>
        <v>45510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5.932665341897734E-05</v>
      </c>
      <c r="L29" s="32">
        <f t="shared" si="1"/>
        <v>0.10466385572406656</v>
      </c>
      <c r="M29" s="28"/>
    </row>
    <row r="30" spans="2:13" ht="39.75" customHeight="1">
      <c r="B30" s="71" t="s">
        <v>11</v>
      </c>
      <c r="C30" s="24">
        <f>1344710716.51</f>
        <v>1344710716.51</v>
      </c>
      <c r="D30" s="24">
        <f>265952740.39</f>
        <v>265952740.39</v>
      </c>
      <c r="E30" s="24">
        <f>265694938.06</f>
        <v>265694938.06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0.3466949253997975</v>
      </c>
      <c r="L30" s="32">
        <f t="shared" si="1"/>
        <v>19.777691746239775</v>
      </c>
      <c r="M30" s="28"/>
    </row>
    <row r="31" spans="2:13" ht="21" customHeight="1">
      <c r="B31" s="74" t="s">
        <v>6</v>
      </c>
      <c r="C31" s="24">
        <f>316010638.87</f>
        <v>316010638.87</v>
      </c>
      <c r="D31" s="24">
        <f>18440935.98</f>
        <v>18440935.98</v>
      </c>
      <c r="E31" s="24">
        <f>18453152</f>
        <v>18453152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0.024039530160558324</v>
      </c>
      <c r="L31" s="32">
        <f t="shared" si="1"/>
        <v>5.835542767149117</v>
      </c>
      <c r="M31" s="28"/>
    </row>
    <row r="32" spans="2:13" ht="39.75" customHeight="1">
      <c r="B32" s="71" t="s">
        <v>82</v>
      </c>
      <c r="C32" s="24">
        <f>911967683.11</f>
        <v>911967683.11</v>
      </c>
      <c r="D32" s="24">
        <f>70740779.7</f>
        <v>70740779.7</v>
      </c>
      <c r="E32" s="24">
        <f>70049407.41</f>
        <v>70049407.41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0.09221739661283515</v>
      </c>
      <c r="L32" s="32">
        <f t="shared" si="1"/>
        <v>7.756939309379822</v>
      </c>
      <c r="M32" s="28"/>
    </row>
    <row r="33" spans="2:13" ht="24" customHeight="1">
      <c r="B33" s="74" t="s">
        <v>6</v>
      </c>
      <c r="C33" s="24">
        <f>771724358.72</f>
        <v>771724358.72</v>
      </c>
      <c r="D33" s="24">
        <f>43972969.08</f>
        <v>43972969.08</v>
      </c>
      <c r="E33" s="24">
        <f>43271987.76</f>
        <v>43271987.76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0.05732298607806124</v>
      </c>
      <c r="L33" s="32">
        <f t="shared" si="1"/>
        <v>5.69801491726069</v>
      </c>
      <c r="M33" s="28"/>
    </row>
    <row r="34" spans="2:13" ht="22.5" customHeight="1">
      <c r="B34" s="71" t="s">
        <v>8</v>
      </c>
      <c r="C34" s="24">
        <f>498889025.95</f>
        <v>498889025.95</v>
      </c>
      <c r="D34" s="24">
        <f>60563230.99</f>
        <v>60563230.99</v>
      </c>
      <c r="E34" s="24">
        <f>59955924.14</f>
        <v>59955924.14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0.07894998494566464</v>
      </c>
      <c r="L34" s="32">
        <f t="shared" si="1"/>
        <v>12.139619803156346</v>
      </c>
      <c r="M34" s="28"/>
    </row>
    <row r="35" spans="2:13" ht="21" customHeight="1">
      <c r="B35" s="74" t="s">
        <v>6</v>
      </c>
      <c r="C35" s="24">
        <f>389793236.08</f>
        <v>389793236.08</v>
      </c>
      <c r="D35" s="24">
        <f>22579205.15</f>
        <v>22579205.15</v>
      </c>
      <c r="E35" s="24">
        <f>22325713.65</f>
        <v>22325713.65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0.029434161248297917</v>
      </c>
      <c r="L35" s="32">
        <f t="shared" si="1"/>
        <v>5.792610815177386</v>
      </c>
      <c r="M35" s="28"/>
    </row>
    <row r="36" spans="2:13" ht="25.5" customHeight="1">
      <c r="B36" s="68" t="s">
        <v>72</v>
      </c>
      <c r="C36" s="69">
        <f>3165259495.55</f>
        <v>3165259495.55</v>
      </c>
      <c r="D36" s="69">
        <f>554205939.3</f>
        <v>554205939.3</v>
      </c>
      <c r="E36" s="69">
        <f>545004330.14</f>
        <v>545004330.14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0.7224606390593251</v>
      </c>
      <c r="L36" s="70">
        <f t="shared" si="1"/>
        <v>17.509020668894646</v>
      </c>
      <c r="M36" s="28"/>
    </row>
    <row r="37" spans="2:13" ht="19.5" customHeight="1">
      <c r="B37" s="29" t="s">
        <v>73</v>
      </c>
      <c r="C37" s="23">
        <f>2385116996.49</f>
        <v>2385116996.49</v>
      </c>
      <c r="D37" s="23">
        <f>312552888.45</f>
        <v>312552888.45</v>
      </c>
      <c r="E37" s="23">
        <f>312117879.89</f>
        <v>312117879.89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0.40744269145623896</v>
      </c>
      <c r="L37" s="32">
        <f t="shared" si="1"/>
        <v>13.104300078778566</v>
      </c>
      <c r="M37" s="28"/>
    </row>
    <row r="38" spans="2:13" ht="25.5" customHeight="1">
      <c r="B38" s="68" t="s">
        <v>97</v>
      </c>
      <c r="C38" s="69">
        <f>20542879343.2</f>
        <v>20542879343.2</v>
      </c>
      <c r="D38" s="69">
        <f>2787975228.96</f>
        <v>2787975228.96</v>
      </c>
      <c r="E38" s="69">
        <f>2758400705.15</f>
        <v>2758400705.15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3.634393323427904</v>
      </c>
      <c r="L38" s="70">
        <f t="shared" si="1"/>
        <v>13.571492011332197</v>
      </c>
      <c r="M38" s="28"/>
    </row>
    <row r="39" spans="2:13" ht="21" customHeight="1">
      <c r="B39" s="29" t="s">
        <v>98</v>
      </c>
      <c r="C39" s="23">
        <f>17259368855.11</f>
        <v>17259368855.11</v>
      </c>
      <c r="D39" s="23">
        <f>1940863988.09</f>
        <v>1940863988.09</v>
      </c>
      <c r="E39" s="23">
        <f>1933416715.13</f>
        <v>1933416715.13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2.53010250834519</v>
      </c>
      <c r="L39" s="32">
        <f t="shared" si="1"/>
        <v>11.245277879992502</v>
      </c>
      <c r="M39" s="28"/>
    </row>
    <row r="40" spans="2:13" ht="35.25" customHeight="1">
      <c r="B40" s="68" t="s">
        <v>64</v>
      </c>
      <c r="C40" s="69">
        <f>C41+C42+C43+C44+C45+C46</f>
        <v>65550807294</v>
      </c>
      <c r="D40" s="69">
        <f>D41+D42+D43+D44+D45+D46</f>
        <v>22998567319</v>
      </c>
      <c r="E40" s="69">
        <f>E41+E42+E43+E44+E45+E46</f>
        <v>19299820825.21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29.980840089372265</v>
      </c>
      <c r="L40" s="70">
        <f t="shared" si="1"/>
        <v>35.0851015699163</v>
      </c>
      <c r="M40" s="28"/>
    </row>
    <row r="41" spans="2:13" ht="26.25" customHeight="1">
      <c r="B41" s="21" t="s">
        <v>50</v>
      </c>
      <c r="C41" s="23">
        <f>13238842571</f>
        <v>13238842571</v>
      </c>
      <c r="D41" s="23">
        <f>3309519834</f>
        <v>3309519834</v>
      </c>
      <c r="E41" s="23">
        <f>3309044949.51</f>
        <v>3309044949.51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4.314276778179508</v>
      </c>
      <c r="L41" s="32">
        <f t="shared" si="1"/>
        <v>24.998558720303706</v>
      </c>
      <c r="M41" s="28"/>
    </row>
    <row r="42" spans="2:13" ht="26.25" customHeight="1">
      <c r="B42" s="21" t="s">
        <v>49</v>
      </c>
      <c r="C42" s="23">
        <f>49535971906</f>
        <v>49535971906</v>
      </c>
      <c r="D42" s="23">
        <f>19052255884</f>
        <v>19052255884</v>
      </c>
      <c r="E42" s="23">
        <f>15353984274.7</f>
        <v>15353984274.7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24.83644433486574</v>
      </c>
      <c r="L42" s="32">
        <f t="shared" si="1"/>
        <v>38.46145568750275</v>
      </c>
      <c r="M42" s="28"/>
    </row>
    <row r="43" spans="2:13" ht="26.25" customHeight="1">
      <c r="B43" s="21" t="s">
        <v>48</v>
      </c>
      <c r="C43" s="23">
        <f>3250459</f>
        <v>3250459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2013651494</f>
        <v>2013651494</v>
      </c>
      <c r="D44" s="23">
        <f>503457288</f>
        <v>503457288</v>
      </c>
      <c r="E44" s="23">
        <f>503457288</f>
        <v>503457288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0.6563049008225502</v>
      </c>
      <c r="L44" s="32">
        <f t="shared" si="1"/>
        <v>25.002205669656956</v>
      </c>
      <c r="M44" s="28"/>
    </row>
    <row r="45" spans="2:13" ht="26.25" customHeight="1">
      <c r="B45" s="21" t="s">
        <v>60</v>
      </c>
      <c r="C45" s="23">
        <f>533337230</f>
        <v>533337230</v>
      </c>
      <c r="D45" s="23">
        <f>133334313</f>
        <v>133334313</v>
      </c>
      <c r="E45" s="23">
        <f>133334313</f>
        <v>133334313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0.17381407550447034</v>
      </c>
      <c r="L45" s="32">
        <f t="shared" si="1"/>
        <v>25.000001031242466</v>
      </c>
      <c r="M45" s="28"/>
    </row>
    <row r="46" spans="2:13" ht="26.25" customHeight="1">
      <c r="B46" s="21" t="s">
        <v>45</v>
      </c>
      <c r="C46" s="23">
        <f>225753634</f>
        <v>225753634</v>
      </c>
      <c r="D46" s="23">
        <f>0</f>
        <v>0</v>
      </c>
      <c r="E46" s="23">
        <f>0</f>
        <v>0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</v>
      </c>
      <c r="L46" s="32">
        <f t="shared" si="1"/>
        <v>0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293492568918.86</v>
      </c>
      <c r="D48" s="76">
        <f t="shared" si="4"/>
        <v>76710883519.08</v>
      </c>
      <c r="E48" s="76">
        <f t="shared" si="4"/>
        <v>71624962168.6</v>
      </c>
      <c r="F48" s="76">
        <f t="shared" si="4"/>
        <v>852214064.61</v>
      </c>
      <c r="G48" s="76">
        <f t="shared" si="4"/>
        <v>224706249.21</v>
      </c>
      <c r="H48" s="76">
        <f t="shared" si="4"/>
        <v>25436479.33</v>
      </c>
      <c r="I48" s="76">
        <f t="shared" si="4"/>
        <v>109817538.76</v>
      </c>
      <c r="J48" s="76">
        <f t="shared" si="4"/>
        <v>3465770.99</v>
      </c>
      <c r="K48" s="77">
        <f>IF($D$48=0,"",100*$D48/$D$48)</f>
        <v>100</v>
      </c>
      <c r="L48" s="77">
        <f t="shared" si="1"/>
        <v>26.13724899463733</v>
      </c>
      <c r="M48" s="4"/>
    </row>
    <row r="49" spans="1:13" s="6" customFormat="1" ht="24.75" customHeight="1">
      <c r="A49" s="3"/>
      <c r="B49" s="66" t="s">
        <v>76</v>
      </c>
      <c r="C49" s="67">
        <f>30113413709.99</f>
        <v>30113413709.99</v>
      </c>
      <c r="D49" s="67">
        <f>3763615397.14</f>
        <v>3763615397.14</v>
      </c>
      <c r="E49" s="67">
        <f>3696529646.25</f>
        <v>3696529646.25</v>
      </c>
      <c r="F49" s="67">
        <f>0</f>
        <v>0</v>
      </c>
      <c r="G49" s="67">
        <f>1427.17</f>
        <v>1427.17</v>
      </c>
      <c r="H49" s="67">
        <f>0</f>
        <v>0</v>
      </c>
      <c r="I49" s="67">
        <f>144868.1</f>
        <v>144868.1</v>
      </c>
      <c r="J49" s="67">
        <f>0</f>
        <v>0</v>
      </c>
      <c r="K49" s="33">
        <f>IF($D$48=0,"",100*$D49/$D$48)</f>
        <v>4.9062339325082736</v>
      </c>
      <c r="L49" s="33">
        <f t="shared" si="1"/>
        <v>12.498135991441702</v>
      </c>
      <c r="M49" s="4"/>
    </row>
    <row r="50" spans="1:13" s="6" customFormat="1" ht="24.75" customHeight="1">
      <c r="A50" s="3"/>
      <c r="B50" s="66" t="s">
        <v>77</v>
      </c>
      <c r="C50" s="67">
        <f>+C48-C49</f>
        <v>263379155208.87</v>
      </c>
      <c r="D50" s="67">
        <f aca="true" t="shared" si="5" ref="D50:J50">+D48-D49</f>
        <v>72947268121.94</v>
      </c>
      <c r="E50" s="67">
        <f t="shared" si="5"/>
        <v>67928432522.350006</v>
      </c>
      <c r="F50" s="67">
        <f t="shared" si="5"/>
        <v>852214064.61</v>
      </c>
      <c r="G50" s="67">
        <f t="shared" si="5"/>
        <v>224704822.04000002</v>
      </c>
      <c r="H50" s="67">
        <f t="shared" si="5"/>
        <v>25436479.33</v>
      </c>
      <c r="I50" s="67">
        <f t="shared" si="5"/>
        <v>109672670.66000001</v>
      </c>
      <c r="J50" s="67">
        <f t="shared" si="5"/>
        <v>3465770.99</v>
      </c>
      <c r="K50" s="33">
        <f>IF($D$48=0,"",100*$D50/$D$48)</f>
        <v>95.09376606749173</v>
      </c>
      <c r="L50" s="33">
        <f t="shared" si="1"/>
        <v>27.696674804841695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316416436347.45</f>
        <v>316416436347.45</v>
      </c>
      <c r="D59" s="76">
        <f>206104629402.79</f>
        <v>206104629402.79</v>
      </c>
      <c r="E59" s="76">
        <f>66904122218.6</f>
        <v>66904122218.6</v>
      </c>
      <c r="F59" s="76">
        <f>7827628957.08</f>
        <v>7827628957.08</v>
      </c>
      <c r="G59" s="76">
        <f>15144172.66</f>
        <v>15144172.66</v>
      </c>
      <c r="H59" s="76">
        <f>16379565.56</f>
        <v>16379565.56</v>
      </c>
      <c r="I59" s="110">
        <f>49523.49</f>
        <v>49523.49</v>
      </c>
      <c r="J59" s="110"/>
      <c r="K59" s="60">
        <f aca="true" t="shared" si="6" ref="K59:K68">IF($E$59=0,"",100*$E59/$E$59)</f>
        <v>100</v>
      </c>
      <c r="L59" s="60">
        <f aca="true" t="shared" si="7" ref="L59:L68">IF(C59=0,"",100*E59/C59)</f>
        <v>21.144325810285668</v>
      </c>
    </row>
    <row r="60" spans="2:12" ht="24" customHeight="1">
      <c r="B60" s="20" t="s">
        <v>14</v>
      </c>
      <c r="C60" s="26">
        <f>64622287231.42</f>
        <v>64622287231.42</v>
      </c>
      <c r="D60" s="26">
        <f>30039610828.18</f>
        <v>30039610828.18</v>
      </c>
      <c r="E60" s="26">
        <f>5479973685.29</f>
        <v>5479973685.29</v>
      </c>
      <c r="F60" s="26">
        <f>1756764676.6</f>
        <v>1756764676.6</v>
      </c>
      <c r="G60" s="26">
        <f>11620284.94</f>
        <v>11620284.94</v>
      </c>
      <c r="H60" s="26">
        <f>2998967.14</f>
        <v>2998967.14</v>
      </c>
      <c r="I60" s="111">
        <f>0</f>
        <v>0</v>
      </c>
      <c r="J60" s="112"/>
      <c r="K60" s="34">
        <f t="shared" si="6"/>
        <v>8.19078631266537</v>
      </c>
      <c r="L60" s="34">
        <f t="shared" si="7"/>
        <v>8.480005769009027</v>
      </c>
    </row>
    <row r="61" spans="2:12" ht="22.5" customHeight="1">
      <c r="B61" s="21" t="s">
        <v>13</v>
      </c>
      <c r="C61" s="23">
        <f>62679723923.25</f>
        <v>62679723923.25</v>
      </c>
      <c r="D61" s="23">
        <f>29262330473.93</f>
        <v>29262330473.93</v>
      </c>
      <c r="E61" s="23">
        <f>5019295476.5</f>
        <v>5019295476.5</v>
      </c>
      <c r="F61" s="23">
        <f>1655815967.53</f>
        <v>1655815967.53</v>
      </c>
      <c r="G61" s="23">
        <f>11620284.94</f>
        <v>11620284.94</v>
      </c>
      <c r="H61" s="23">
        <f>2998967.14</f>
        <v>2998967.14</v>
      </c>
      <c r="I61" s="108">
        <f>0</f>
        <v>0</v>
      </c>
      <c r="J61" s="109"/>
      <c r="K61" s="35">
        <f t="shared" si="6"/>
        <v>7.502221552358379</v>
      </c>
      <c r="L61" s="35">
        <f t="shared" si="7"/>
        <v>8.00784553972513</v>
      </c>
    </row>
    <row r="62" spans="2:12" ht="44.25" customHeight="1">
      <c r="B62" s="68" t="s">
        <v>66</v>
      </c>
      <c r="C62" s="76">
        <f aca="true" t="shared" si="8" ref="C62:I62">C59-C60</f>
        <v>251794149116.03003</v>
      </c>
      <c r="D62" s="76">
        <f t="shared" si="8"/>
        <v>176065018574.61002</v>
      </c>
      <c r="E62" s="76">
        <f t="shared" si="8"/>
        <v>61424148533.31</v>
      </c>
      <c r="F62" s="76">
        <f t="shared" si="8"/>
        <v>6070864280.48</v>
      </c>
      <c r="G62" s="76">
        <f t="shared" si="8"/>
        <v>3523887.7200000007</v>
      </c>
      <c r="H62" s="76">
        <f t="shared" si="8"/>
        <v>13380598.42</v>
      </c>
      <c r="I62" s="110">
        <f t="shared" si="8"/>
        <v>49523.49</v>
      </c>
      <c r="J62" s="110"/>
      <c r="K62" s="60">
        <f t="shared" si="6"/>
        <v>91.80921368733463</v>
      </c>
      <c r="L62" s="60">
        <f t="shared" si="7"/>
        <v>24.394589290081143</v>
      </c>
    </row>
    <row r="63" spans="2:12" ht="22.5" customHeight="1">
      <c r="B63" s="21" t="s">
        <v>112</v>
      </c>
      <c r="C63" s="23">
        <f>97226764316.07</f>
        <v>97226764316.07</v>
      </c>
      <c r="D63" s="23">
        <f>81726342291.69</f>
        <v>81726342291.69</v>
      </c>
      <c r="E63" s="23">
        <f>26780442816.86</f>
        <v>26780442816.86</v>
      </c>
      <c r="F63" s="23">
        <f>2553380910.17</f>
        <v>2553380910.17</v>
      </c>
      <c r="G63" s="23">
        <f>424819.55</f>
        <v>424819.55</v>
      </c>
      <c r="H63" s="23">
        <f>2211361.82</f>
        <v>2211361.82</v>
      </c>
      <c r="I63" s="108">
        <f>0</f>
        <v>0</v>
      </c>
      <c r="J63" s="109"/>
      <c r="K63" s="35">
        <f t="shared" si="6"/>
        <v>40.028090839243944</v>
      </c>
      <c r="L63" s="35">
        <f t="shared" si="7"/>
        <v>27.544311492050372</v>
      </c>
    </row>
    <row r="64" spans="2:12" ht="22.5" customHeight="1">
      <c r="B64" s="21" t="s">
        <v>53</v>
      </c>
      <c r="C64" s="23">
        <f>25059222691.62</f>
        <v>25059222691.62</v>
      </c>
      <c r="D64" s="23">
        <f>15887433174.32</f>
        <v>15887433174.32</v>
      </c>
      <c r="E64" s="23">
        <f>6546769179.58</f>
        <v>6546769179.58</v>
      </c>
      <c r="F64" s="23">
        <f>135279310.94</f>
        <v>135279310.94</v>
      </c>
      <c r="G64" s="23">
        <f>490752.39</f>
        <v>490752.39</v>
      </c>
      <c r="H64" s="23">
        <f>116301.95</f>
        <v>116301.95</v>
      </c>
      <c r="I64" s="108">
        <f>0</f>
        <v>0</v>
      </c>
      <c r="J64" s="109"/>
      <c r="K64" s="35">
        <f t="shared" si="6"/>
        <v>9.785300161609376</v>
      </c>
      <c r="L64" s="35">
        <f t="shared" si="7"/>
        <v>26.125188558898483</v>
      </c>
    </row>
    <row r="65" spans="2:12" ht="22.5" customHeight="1">
      <c r="B65" s="21" t="s">
        <v>52</v>
      </c>
      <c r="C65" s="23">
        <f>2692880833.4</f>
        <v>2692880833.4</v>
      </c>
      <c r="D65" s="23">
        <f>1157067563.33</f>
        <v>1157067563.33</v>
      </c>
      <c r="E65" s="23">
        <f>393945057.18</f>
        <v>393945057.18</v>
      </c>
      <c r="F65" s="23">
        <f>58606712.6</f>
        <v>58606712.6</v>
      </c>
      <c r="G65" s="23">
        <f>8189.45</f>
        <v>8189.45</v>
      </c>
      <c r="H65" s="23">
        <f>13638.63</f>
        <v>13638.63</v>
      </c>
      <c r="I65" s="108">
        <f>0</f>
        <v>0</v>
      </c>
      <c r="J65" s="109"/>
      <c r="K65" s="35">
        <f t="shared" si="6"/>
        <v>0.5888203060087073</v>
      </c>
      <c r="L65" s="35">
        <f t="shared" si="7"/>
        <v>14.629130717329572</v>
      </c>
    </row>
    <row r="66" spans="2:12" ht="33.75" customHeight="1">
      <c r="B66" s="21" t="s">
        <v>69</v>
      </c>
      <c r="C66" s="23">
        <f>524791290.22</f>
        <v>524791290.22</v>
      </c>
      <c r="D66" s="23">
        <f>78058247</f>
        <v>78058247</v>
      </c>
      <c r="E66" s="23">
        <f>6291273.36</f>
        <v>6291273.36</v>
      </c>
      <c r="F66" s="23">
        <f>737200.02</f>
        <v>737200.02</v>
      </c>
      <c r="G66" s="23">
        <f>0</f>
        <v>0</v>
      </c>
      <c r="H66" s="23">
        <f>0</f>
        <v>0</v>
      </c>
      <c r="I66" s="108">
        <f>0</f>
        <v>0</v>
      </c>
      <c r="J66" s="109"/>
      <c r="K66" s="35">
        <f t="shared" si="6"/>
        <v>0.009403416637683596</v>
      </c>
      <c r="L66" s="35">
        <f t="shared" si="7"/>
        <v>1.1988143624416114</v>
      </c>
    </row>
    <row r="67" spans="2:12" ht="30" customHeight="1">
      <c r="B67" s="21" t="s">
        <v>71</v>
      </c>
      <c r="C67" s="23">
        <f>56239648493.73</f>
        <v>56239648493.73</v>
      </c>
      <c r="D67" s="23">
        <f>39539472138.89</f>
        <v>39539472138.89</v>
      </c>
      <c r="E67" s="23">
        <f>14459597295.26</f>
        <v>14459597295.26</v>
      </c>
      <c r="F67" s="23">
        <f>1186630825.83</f>
        <v>1186630825.83</v>
      </c>
      <c r="G67" s="23">
        <f>168524.41</f>
        <v>168524.41</v>
      </c>
      <c r="H67" s="23">
        <f>101782.37</f>
        <v>101782.37</v>
      </c>
      <c r="I67" s="108">
        <f>0</f>
        <v>0</v>
      </c>
      <c r="J67" s="109"/>
      <c r="K67" s="35">
        <f t="shared" si="6"/>
        <v>21.612416119914492</v>
      </c>
      <c r="L67" s="35">
        <f t="shared" si="7"/>
        <v>25.710682201137974</v>
      </c>
    </row>
    <row r="68" spans="2:12" ht="22.5" customHeight="1">
      <c r="B68" s="21" t="s">
        <v>51</v>
      </c>
      <c r="C68" s="23">
        <f aca="true" t="shared" si="9" ref="C68:I68">C62-C63-C64-C65-C66-C67</f>
        <v>70050841490.99002</v>
      </c>
      <c r="D68" s="23">
        <f t="shared" si="9"/>
        <v>37676645159.380005</v>
      </c>
      <c r="E68" s="23">
        <f t="shared" si="9"/>
        <v>13237102911.069994</v>
      </c>
      <c r="F68" s="23">
        <f t="shared" si="9"/>
        <v>2136229320.9199996</v>
      </c>
      <c r="G68" s="23">
        <f t="shared" si="9"/>
        <v>2431601.9200000004</v>
      </c>
      <c r="H68" s="23">
        <f t="shared" si="9"/>
        <v>10937513.65</v>
      </c>
      <c r="I68" s="108">
        <f t="shared" si="9"/>
        <v>49523.49</v>
      </c>
      <c r="J68" s="109"/>
      <c r="K68" s="35">
        <f t="shared" si="6"/>
        <v>19.785182843920417</v>
      </c>
      <c r="L68" s="35">
        <f t="shared" si="7"/>
        <v>18.896422411674468</v>
      </c>
    </row>
    <row r="69" spans="2:13" ht="24" customHeight="1">
      <c r="B69" s="20" t="s">
        <v>15</v>
      </c>
      <c r="C69" s="26">
        <f>C6-C59</f>
        <v>-22923867428.590027</v>
      </c>
      <c r="D69" s="26"/>
      <c r="E69" s="26">
        <f>D6-E59</f>
        <v>9806761300.480003</v>
      </c>
      <c r="F69" s="26"/>
      <c r="G69" s="26"/>
      <c r="H69" s="26"/>
      <c r="I69" s="111"/>
      <c r="J69" s="111"/>
      <c r="K69" s="27"/>
      <c r="L69" s="27"/>
      <c r="M69" s="14"/>
    </row>
    <row r="70" spans="2:13" ht="38.25">
      <c r="B70" s="61" t="s">
        <v>80</v>
      </c>
      <c r="C70" s="62">
        <f>+C50-C62</f>
        <v>11585006092.839966</v>
      </c>
      <c r="D70" s="62"/>
      <c r="E70" s="62">
        <f>+D50-E62</f>
        <v>11523119588.630005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33076980628.86</f>
        <v>33076980628.86</v>
      </c>
      <c r="D73" s="76">
        <f>17093940278.03</f>
        <v>17093940278.03</v>
      </c>
      <c r="E73" s="76">
        <f>3336937952.05</f>
        <v>3336937952.05</v>
      </c>
      <c r="F73" s="76">
        <f>656116748.91</f>
        <v>656116748.91</v>
      </c>
      <c r="G73" s="76">
        <f>998031.78</f>
        <v>998031.78</v>
      </c>
      <c r="H73" s="76">
        <f>2851126.24</f>
        <v>2851126.24</v>
      </c>
      <c r="I73" s="110">
        <f>0</f>
        <v>0</v>
      </c>
      <c r="J73" s="110"/>
      <c r="K73" s="60">
        <f>IF($E$73=0,"",100*$E73/$E$73)</f>
        <v>100</v>
      </c>
      <c r="L73" s="60">
        <f>IF(C73=0,"",100*E73/C73)</f>
        <v>10.088399511104372</v>
      </c>
      <c r="M73" s="11"/>
    </row>
    <row r="74" spans="2:13" ht="21.75" customHeight="1">
      <c r="B74" s="78" t="s">
        <v>78</v>
      </c>
      <c r="C74" s="79">
        <f>28016205484.47</f>
        <v>28016205484.47</v>
      </c>
      <c r="D74" s="79">
        <f>14736703684.39</f>
        <v>14736703684.39</v>
      </c>
      <c r="E74" s="79">
        <f>2483423738.65</f>
        <v>2483423738.65</v>
      </c>
      <c r="F74" s="79">
        <f>618412902.38</f>
        <v>618412902.38</v>
      </c>
      <c r="G74" s="79">
        <f>998031.78</f>
        <v>998031.78</v>
      </c>
      <c r="H74" s="79">
        <f>2826213.55</f>
        <v>2826213.55</v>
      </c>
      <c r="I74" s="113">
        <f>0</f>
        <v>0</v>
      </c>
      <c r="J74" s="113"/>
      <c r="K74" s="80">
        <f>IF($E$73=0,"",100*$E74/$E$73)</f>
        <v>74.42223302726813</v>
      </c>
      <c r="L74" s="80">
        <f>IF(C74=0,"",100*E74/C74)</f>
        <v>8.864240162810828</v>
      </c>
      <c r="M74" s="11"/>
    </row>
    <row r="75" spans="2:12" ht="24" customHeight="1">
      <c r="B75" s="78" t="s">
        <v>79</v>
      </c>
      <c r="C75" s="79">
        <f aca="true" t="shared" si="10" ref="C75:I75">C73-C74</f>
        <v>5060775144.389999</v>
      </c>
      <c r="D75" s="79">
        <f t="shared" si="10"/>
        <v>2357236593.6400013</v>
      </c>
      <c r="E75" s="79">
        <f t="shared" si="10"/>
        <v>853514213.4000001</v>
      </c>
      <c r="F75" s="79">
        <f t="shared" si="10"/>
        <v>37703846.52999997</v>
      </c>
      <c r="G75" s="79">
        <f t="shared" si="10"/>
        <v>0</v>
      </c>
      <c r="H75" s="79">
        <f t="shared" si="10"/>
        <v>24912.69000000041</v>
      </c>
      <c r="I75" s="113">
        <f t="shared" si="10"/>
        <v>0</v>
      </c>
      <c r="J75" s="113"/>
      <c r="K75" s="80">
        <f>IF($E$73=0,"",100*$E75/$E$73)</f>
        <v>25.57776697273187</v>
      </c>
      <c r="L75" s="80">
        <f>IF(C75=0,"",100*E75/C75)</f>
        <v>16.865286226876584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33299708393.3</f>
        <v>33299708393.3</v>
      </c>
      <c r="D80" s="46"/>
      <c r="E80" s="45">
        <f>20987223670.83</f>
        <v>20987223670.83</v>
      </c>
      <c r="F80" s="46"/>
      <c r="G80" s="42">
        <f>IF($E$80=0,"",100*$E80/$E$80)</f>
        <v>100</v>
      </c>
      <c r="H80" s="34">
        <f>IF(C80=0,"",100*E80/C80)</f>
        <v>63.02524761764189</v>
      </c>
    </row>
    <row r="81" spans="2:8" ht="33.75">
      <c r="B81" s="37" t="s">
        <v>100</v>
      </c>
      <c r="C81" s="47">
        <f>22566257313.17</f>
        <v>22566257313.17</v>
      </c>
      <c r="D81" s="48"/>
      <c r="E81" s="47">
        <f>622171621.19</f>
        <v>622171621.19</v>
      </c>
      <c r="F81" s="48"/>
      <c r="G81" s="58">
        <f aca="true" t="shared" si="11" ref="G81:G87">IF($E$80=0,"",100*$E81/$E$80)</f>
        <v>2.9645256130507254</v>
      </c>
      <c r="H81" s="59">
        <f aca="true" t="shared" si="12" ref="H81:H92">IF(C81=0,"",100*E81/C81)</f>
        <v>2.7570882160724617</v>
      </c>
    </row>
    <row r="82" spans="2:8" ht="22.5">
      <c r="B82" s="30" t="s">
        <v>101</v>
      </c>
      <c r="C82" s="82">
        <f>549875319.62</f>
        <v>549875319.62</v>
      </c>
      <c r="D82" s="83"/>
      <c r="E82" s="82">
        <f>12900000</f>
        <v>12900000</v>
      </c>
      <c r="F82" s="83"/>
      <c r="G82" s="84">
        <f t="shared" si="11"/>
        <v>0.06146596711564866</v>
      </c>
      <c r="H82" s="80">
        <f t="shared" si="12"/>
        <v>2.345986360856266</v>
      </c>
    </row>
    <row r="83" spans="2:8" ht="12.75">
      <c r="B83" s="85" t="s">
        <v>102</v>
      </c>
      <c r="C83" s="82">
        <f>290668743.54</f>
        <v>290668743.54</v>
      </c>
      <c r="D83" s="83"/>
      <c r="E83" s="82">
        <f>34025088.1</f>
        <v>34025088.1</v>
      </c>
      <c r="F83" s="83"/>
      <c r="G83" s="84">
        <f t="shared" si="11"/>
        <v>0.1621228640512906</v>
      </c>
      <c r="H83" s="80">
        <f t="shared" si="12"/>
        <v>11.705795293162534</v>
      </c>
    </row>
    <row r="84" spans="2:8" ht="12.75">
      <c r="B84" s="85" t="s">
        <v>103</v>
      </c>
      <c r="C84" s="82">
        <f>1419088194.62</f>
        <v>1419088194.62</v>
      </c>
      <c r="D84" s="83"/>
      <c r="E84" s="82">
        <f>2799287904.47</f>
        <v>2799287904.47</v>
      </c>
      <c r="F84" s="83"/>
      <c r="G84" s="84">
        <f t="shared" si="11"/>
        <v>13.338057231270238</v>
      </c>
      <c r="H84" s="80">
        <f t="shared" si="12"/>
        <v>197.25961466542864</v>
      </c>
    </row>
    <row r="85" spans="2:8" ht="12.75">
      <c r="B85" s="85" t="s">
        <v>104</v>
      </c>
      <c r="C85" s="82">
        <f>0</f>
        <v>0</v>
      </c>
      <c r="D85" s="83"/>
      <c r="E85" s="82">
        <f>434727.05</f>
        <v>434727.05</v>
      </c>
      <c r="F85" s="83"/>
      <c r="G85" s="84">
        <f t="shared" si="11"/>
        <v>0.0020713890356265853</v>
      </c>
      <c r="H85" s="80">
        <f t="shared" si="12"/>
      </c>
    </row>
    <row r="86" spans="2:8" ht="33.75">
      <c r="B86" s="85" t="s">
        <v>105</v>
      </c>
      <c r="C86" s="82">
        <f>7584955010.53</f>
        <v>7584955010.53</v>
      </c>
      <c r="D86" s="83"/>
      <c r="E86" s="82">
        <f>15525768473.22</f>
        <v>15525768473.22</v>
      </c>
      <c r="F86" s="83"/>
      <c r="G86" s="84">
        <f t="shared" si="11"/>
        <v>73.97723832714071</v>
      </c>
      <c r="H86" s="80">
        <f t="shared" si="12"/>
        <v>204.691635634832</v>
      </c>
    </row>
    <row r="87" spans="2:8" ht="12.75">
      <c r="B87" s="85" t="s">
        <v>83</v>
      </c>
      <c r="C87" s="82">
        <f>349593601.9</f>
        <v>349593601.9</v>
      </c>
      <c r="D87" s="83"/>
      <c r="E87" s="82">
        <f>209369306.53</f>
        <v>209369306.53</v>
      </c>
      <c r="F87" s="83"/>
      <c r="G87" s="84">
        <f t="shared" si="11"/>
        <v>0.9976036364495461</v>
      </c>
      <c r="H87" s="80">
        <f t="shared" si="12"/>
        <v>59.88934162184391</v>
      </c>
    </row>
    <row r="88" spans="2:8" ht="25.5">
      <c r="B88" s="38" t="s">
        <v>68</v>
      </c>
      <c r="C88" s="55">
        <f>10368485367.95</f>
        <v>10368485367.95</v>
      </c>
      <c r="D88" s="56"/>
      <c r="E88" s="55">
        <f>2608500789.63</f>
        <v>2608500789.63</v>
      </c>
      <c r="F88" s="56"/>
      <c r="G88" s="42">
        <f>IF($E$88=0,"",100*$E88/$E$88)</f>
        <v>100</v>
      </c>
      <c r="H88" s="34">
        <f t="shared" si="12"/>
        <v>25.157973388216664</v>
      </c>
    </row>
    <row r="89" spans="2:8" ht="33.75">
      <c r="B89" s="37" t="s">
        <v>106</v>
      </c>
      <c r="C89" s="47">
        <f>9361535178.92</f>
        <v>9361535178.92</v>
      </c>
      <c r="D89" s="53"/>
      <c r="E89" s="54">
        <f>1719307210.43</f>
        <v>1719307210.43</v>
      </c>
      <c r="F89" s="53"/>
      <c r="G89" s="58">
        <f>IF($E$88=0,"",100*$E89/$E$88)</f>
        <v>65.91169982639235</v>
      </c>
      <c r="H89" s="59">
        <f t="shared" si="12"/>
        <v>18.36565453817318</v>
      </c>
    </row>
    <row r="90" spans="2:8" ht="22.5">
      <c r="B90" s="30" t="s">
        <v>107</v>
      </c>
      <c r="C90" s="82">
        <f>601597000</f>
        <v>601597000</v>
      </c>
      <c r="D90" s="83"/>
      <c r="E90" s="82">
        <f>1200000</f>
        <v>1200000</v>
      </c>
      <c r="F90" s="83"/>
      <c r="G90" s="84">
        <f>IF($E$88=0,"",100*$E90/$E$88)</f>
        <v>0.04600343633287581</v>
      </c>
      <c r="H90" s="80">
        <f t="shared" si="12"/>
        <v>0.19946907979926762</v>
      </c>
    </row>
    <row r="91" spans="2:8" ht="12.75">
      <c r="B91" s="85" t="s">
        <v>108</v>
      </c>
      <c r="C91" s="82">
        <f>182289698.03</f>
        <v>182289698.03</v>
      </c>
      <c r="D91" s="83"/>
      <c r="E91" s="82">
        <f>68617413.67</f>
        <v>68617413.67</v>
      </c>
      <c r="F91" s="83"/>
      <c r="G91" s="84">
        <f>IF($E$88=0,"",100*$E91/$E$88)</f>
        <v>2.630530684245373</v>
      </c>
      <c r="H91" s="80">
        <f t="shared" si="12"/>
        <v>37.641959151584864</v>
      </c>
    </row>
    <row r="92" spans="2:8" ht="12.75">
      <c r="B92" s="36" t="s">
        <v>33</v>
      </c>
      <c r="C92" s="47">
        <f>824660491</f>
        <v>824660491</v>
      </c>
      <c r="D92" s="50"/>
      <c r="E92" s="47">
        <f>820576165.53</f>
        <v>820576165.53</v>
      </c>
      <c r="F92" s="50"/>
      <c r="G92" s="58">
        <f>IF($E$88=0,"",100*$E92/$E$88)</f>
        <v>31.457769489362267</v>
      </c>
      <c r="H92" s="59">
        <f t="shared" si="12"/>
        <v>99.50472642807863</v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23534602338.06</f>
        <v>23534602338.06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465273245.33</f>
        <v>465273245.33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15634666550.33</f>
        <v>15634666550.33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847971698.37</f>
        <v>847971698.37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5597464225.85</f>
        <v>5597464225.85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0</f>
        <v>0</v>
      </c>
      <c r="D107" s="88"/>
      <c r="E107" s="88"/>
      <c r="F107" s="89"/>
    </row>
    <row r="108" spans="2:6" ht="45">
      <c r="B108" s="86" t="s">
        <v>91</v>
      </c>
      <c r="C108" s="87">
        <f>0</f>
        <v>0</v>
      </c>
      <c r="D108" s="88"/>
      <c r="E108" s="88"/>
      <c r="F108" s="89"/>
    </row>
    <row r="109" spans="2:6" ht="45">
      <c r="B109" s="86" t="s">
        <v>92</v>
      </c>
      <c r="C109" s="87">
        <f>0</f>
        <v>0</v>
      </c>
      <c r="D109" s="88"/>
      <c r="E109" s="88"/>
      <c r="F109" s="89"/>
    </row>
    <row r="110" spans="2:6" ht="78.75">
      <c r="B110" s="86" t="s">
        <v>93</v>
      </c>
      <c r="C110" s="87">
        <f>0</f>
        <v>0</v>
      </c>
      <c r="D110" s="88"/>
      <c r="E110" s="88"/>
      <c r="F110" s="89"/>
    </row>
    <row r="111" spans="2:6" ht="56.25">
      <c r="B111" s="86" t="s">
        <v>94</v>
      </c>
      <c r="C111" s="87">
        <f>0</f>
        <v>0</v>
      </c>
      <c r="D111" s="88"/>
      <c r="E111" s="88"/>
      <c r="F111" s="89"/>
    </row>
    <row r="112" spans="2:6" ht="56.25">
      <c r="B112" s="86" t="s">
        <v>95</v>
      </c>
      <c r="C112" s="87">
        <f>0</f>
        <v>0</v>
      </c>
      <c r="D112" s="88"/>
      <c r="E112" s="88"/>
      <c r="F112" s="89"/>
    </row>
    <row r="113" spans="2:6" ht="56.25">
      <c r="B113" s="86" t="s">
        <v>96</v>
      </c>
      <c r="C113" s="87">
        <f>0</f>
        <v>0</v>
      </c>
      <c r="D113" s="88"/>
      <c r="E113" s="88"/>
      <c r="F113" s="89"/>
    </row>
    <row r="114" spans="2:6" ht="112.5">
      <c r="B114" s="86" t="s">
        <v>109</v>
      </c>
      <c r="C114" s="87">
        <f>0</f>
        <v>0</v>
      </c>
      <c r="D114" s="88"/>
      <c r="E114" s="88"/>
      <c r="F114" s="89"/>
    </row>
    <row r="115" spans="2:6" ht="112.5">
      <c r="B115" s="86" t="s">
        <v>110</v>
      </c>
      <c r="C115" s="87">
        <f>0</f>
        <v>0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2020-06-10T10:43:22Z</dcterms:modified>
  <cp:category/>
  <cp:version/>
  <cp:contentType/>
  <cp:contentStatus/>
</cp:coreProperties>
</file>