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'doch_wyd'!$B$1:$L$95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<sst xmlns="http://schemas.openxmlformats.org/spreadsheetml/2006/main" count="111" uniqueCount="91">
  <si>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</si>
  <si>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</si>
  <si>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</si>
  <si>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</si>
  <si>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</si>
  <si>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</si>
  <si>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</si>
  <si>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</si>
  <si>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</si>
  <si>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</si>
  <si>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</si>
  <si>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</si>
  <si>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</si>
  <si>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</si>
  <si>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</si>
  <si>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</si>
  <si>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</si>
  <si>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</si>
  <si>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</si>
  <si>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</si>
  <si>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</si>
  <si>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</si>
  <si>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</si>
  <si>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</si>
  <si>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</si>
  <si>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</si>
  <si>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</si>
  <si>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</si>
  <si>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</si>
  <si>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</si>
  <si>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</si>
  <si>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</si>
  <si>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</si>
  <si>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</si>
  <si>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</si>
  <si>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</si>
  <si>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</si>
  <si>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</si>
  <si>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</si>
  <si>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</si>
  <si>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</si>
  <si>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</si>
  <si>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</si>
  <si>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</si>
  <si>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</si>
  <si>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</si>
  <si>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</si>
  <si>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</si>
  <si>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</si>
  <si>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</si>
  <si>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</si>
  <si>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</si>
  <si>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</si>
  <si>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</si>
  <si>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</si>
  <si>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</si>
  <si>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</si>
  <si>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</si>
  <si>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tytul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</si>
  <si>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</si>
  <si>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</si>
  <si>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</si>
  <si>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</si>
  <si>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</si>
  <si>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</si>
  <si>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</si>
  <si>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</si>
  <si>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</si>
  <si>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</si>
  <si>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</si>
  <si>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</si>
  <si>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</si>
  <si>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</si>
  <si>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</si>
  <si>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</si>
  <si>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</si>
  <si>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</si>
  <si>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</si>
  <si>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</si>
  <si>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</si>
  <si>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</si>
  <si>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</si>
  <si>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</si>
  <si>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</si>
  <si>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</si>
  <si>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</si>
  <si>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</si>
  <si>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</si>
  <si>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wydatki na wynagrodzenia i pochodne od wynagrodzeń</t>
  </si>
  <si>
    <t>niewykorzystane środki pieniężne o których mowa w art..217 ust.2 pkt.8 ustawy o finansach publicznych</t>
  </si>
  <si>
    <t>otrzymane ze środków z Funduszu Przeciwdziałania COVID-19 (m.in. z Rządowego Funduszu Inwestycji Lokalnych)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</si>
</sst>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4" fillId="42" borderId="3" applyNumberFormat="0" applyAlignment="0" applyProtection="0"/>
    <xf numFmtId="0" fontId="45" fillId="43" borderId="4" applyNumberFormat="0" applyAlignment="0" applyProtection="0"/>
    <xf numFmtId="0" fontId="46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2" fillId="47" borderId="0" applyNumberFormat="0" applyBorder="0" applyAlignment="0" applyProtection="0"/>
    <xf numFmtId="0" fontId="42" fillId="0" borderId="0">
      <alignment/>
      <protection/>
    </xf>
    <xf numFmtId="0" fontId="0" fillId="4" borderId="14" applyNumberFormat="0" applyFont="0" applyAlignment="0" applyProtection="0"/>
    <xf numFmtId="0" fontId="53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49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166" fontId="7" fillId="0" borderId="19" xfId="0" applyNumberFormat="1" applyFont="1" applyBorder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59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5" fillId="50" borderId="19" xfId="0" applyFont="1" applyFill="1" applyBorder="1" applyAlignment="1">
      <alignment horizontal="left" vertical="center" wrapText="1" indent="1"/>
    </xf>
    <xf numFmtId="4" fontId="34" fillId="50" borderId="19" xfId="0" applyNumberFormat="1" applyFont="1" applyFill="1" applyBorder="1" applyAlignment="1">
      <alignment horizontal="right" vertical="center"/>
    </xf>
    <xf numFmtId="164" fontId="34" fillId="50" borderId="19" xfId="0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3" fillId="29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4" fontId="34" fillId="0" borderId="19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5"/>
  <sheetViews>
    <sheetView tabSelected="1" workbookViewId="0" topLeftCell="B1">
      <selection activeCell="B2" sqref="B2:B3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24" t="str">
        <f>CONCATENATE("Informacja z wykonania budżetów powiatów za ",$D$92," ",$C$93," rok     ",$C$95,"")</f>
        <v>Informacja z wykonania budżetów powiatów za IV Kwartały 2021 rok     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2:8" ht="57.75" customHeight="1">
      <c r="B2" s="110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10"/>
      <c r="C3" s="112" t="s">
        <v>64</v>
      </c>
      <c r="D3" s="112"/>
      <c r="E3" s="112"/>
      <c r="F3" s="112" t="s">
        <v>4</v>
      </c>
      <c r="G3" s="112"/>
      <c r="H3" s="112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70" t="s">
        <v>5</v>
      </c>
      <c r="C5" s="71">
        <f>35446064078.63</f>
        <v>35446064078.63</v>
      </c>
      <c r="D5" s="71">
        <f>36053277512.58</f>
        <v>36053277512.58</v>
      </c>
      <c r="E5" s="71">
        <f>35816490633.85</f>
        <v>35816490633.85</v>
      </c>
      <c r="F5" s="72">
        <f aca="true" t="shared" si="0" ref="F5:F35">IF($D$5=0,"",100*$D5/$D$5)</f>
        <v>100</v>
      </c>
      <c r="G5" s="72">
        <f aca="true" t="shared" si="1" ref="G5:G38">IF(C5=0,"",100*D5/C5)</f>
        <v>101.71306307127082</v>
      </c>
      <c r="H5" s="72"/>
    </row>
    <row r="6" spans="2:8" ht="25.5" customHeight="1">
      <c r="B6" s="63" t="s">
        <v>44</v>
      </c>
      <c r="C6" s="32">
        <f>C5-C11-C31</f>
        <v>12930818057.619995</v>
      </c>
      <c r="D6" s="32">
        <f>D5-D11-D31</f>
        <v>13747399431.110004</v>
      </c>
      <c r="E6" s="32">
        <f>E5-E11-E31</f>
        <v>13589159822.349998</v>
      </c>
      <c r="F6" s="33">
        <f t="shared" si="0"/>
        <v>38.13078970785153</v>
      </c>
      <c r="G6" s="33">
        <f t="shared" si="1"/>
        <v>106.3150016483977</v>
      </c>
      <c r="H6" s="33">
        <f>IF($D$6=0,"",100*$D6/$D$6)</f>
        <v>100</v>
      </c>
    </row>
    <row r="7" spans="2:8" ht="22.5" customHeight="1">
      <c r="B7" s="64" t="s">
        <v>19</v>
      </c>
      <c r="C7" s="34">
        <f>6414628183.68</f>
        <v>6414628183.68</v>
      </c>
      <c r="D7" s="34">
        <f>6940195025</f>
        <v>6940195025</v>
      </c>
      <c r="E7" s="34">
        <f>6797787641.56</f>
        <v>6797787641.56</v>
      </c>
      <c r="F7" s="35">
        <f t="shared" si="0"/>
        <v>19.24983109393694</v>
      </c>
      <c r="G7" s="35">
        <f t="shared" si="1"/>
        <v>108.19325495212861</v>
      </c>
      <c r="H7" s="35">
        <f>IF($D$6=0,"",100*$D7/$D$6)</f>
        <v>50.48369373260895</v>
      </c>
    </row>
    <row r="8" spans="2:8" ht="22.5" customHeight="1">
      <c r="B8" s="64" t="s">
        <v>26</v>
      </c>
      <c r="C8" s="34">
        <f>256025410.63</f>
        <v>256025410.63</v>
      </c>
      <c r="D8" s="34">
        <f>339635141.92</f>
        <v>339635141.92</v>
      </c>
      <c r="E8" s="34">
        <f>336797567.33</f>
        <v>336797567.33</v>
      </c>
      <c r="F8" s="35">
        <f t="shared" si="0"/>
        <v>0.9420368004032137</v>
      </c>
      <c r="G8" s="35">
        <f t="shared" si="1"/>
        <v>132.65680976128976</v>
      </c>
      <c r="H8" s="35">
        <f>IF($D$6=0,"",100*$D8/$D$6)</f>
        <v>2.470541018481027</v>
      </c>
    </row>
    <row r="9" spans="2:8" ht="13.5" customHeight="1">
      <c r="B9" s="64" t="s">
        <v>20</v>
      </c>
      <c r="C9" s="34">
        <f>377651602.58</f>
        <v>377651602.58</v>
      </c>
      <c r="D9" s="73">
        <f>360824841.7</f>
        <v>360824841.7</v>
      </c>
      <c r="E9" s="34">
        <f>348743937.91</f>
        <v>348743937.91</v>
      </c>
      <c r="F9" s="35">
        <f t="shared" si="0"/>
        <v>1.0008100971516336</v>
      </c>
      <c r="G9" s="35">
        <f t="shared" si="1"/>
        <v>95.54436926388112</v>
      </c>
      <c r="H9" s="35">
        <f>IF($D$6=0,"",100*$D9/$D$6)</f>
        <v>2.624677078076766</v>
      </c>
    </row>
    <row r="10" spans="2:8" ht="13.5" customHeight="1">
      <c r="B10" s="64" t="s">
        <v>21</v>
      </c>
      <c r="C10" s="34">
        <f>C6-C8-C7-C9</f>
        <v>5882512860.729996</v>
      </c>
      <c r="D10" s="34">
        <f>D6-D8-D7-D9</f>
        <v>6106744422.490005</v>
      </c>
      <c r="E10" s="34">
        <f>E6-E8-E7-E9</f>
        <v>6105830675.549998</v>
      </c>
      <c r="F10" s="35">
        <f t="shared" si="0"/>
        <v>16.93811171635974</v>
      </c>
      <c r="G10" s="35">
        <f t="shared" si="1"/>
        <v>103.81183292019497</v>
      </c>
      <c r="H10" s="35">
        <f>IF($D$6=0,"",100*$D10/$D$6)</f>
        <v>44.42108817083326</v>
      </c>
    </row>
    <row r="11" spans="2:8" ht="26.25" customHeight="1">
      <c r="B11" s="70" t="s">
        <v>55</v>
      </c>
      <c r="C11" s="71">
        <f>C12+C27+C29</f>
        <v>7827599596.010001</v>
      </c>
      <c r="D11" s="71">
        <f>D12+D27+D29</f>
        <v>7343478321.469998</v>
      </c>
      <c r="E11" s="71">
        <f>E12+E27+E29</f>
        <v>7316129011.499999</v>
      </c>
      <c r="F11" s="72">
        <f t="shared" si="0"/>
        <v>20.36840705788164</v>
      </c>
      <c r="G11" s="72">
        <f t="shared" si="1"/>
        <v>93.81520134490815</v>
      </c>
      <c r="H11" s="74"/>
    </row>
    <row r="12" spans="2:8" ht="25.5" customHeight="1">
      <c r="B12" s="70" t="s">
        <v>45</v>
      </c>
      <c r="C12" s="71">
        <f>C13+C15+C17+C19+C21+C23+C25</f>
        <v>6329918504.150001</v>
      </c>
      <c r="D12" s="71">
        <f>D13+D15+D17+D19+D21+D23+D25</f>
        <v>6153768896.079999</v>
      </c>
      <c r="E12" s="71">
        <f>E13+E15+E17+E19+E21+E23+E25</f>
        <v>6131833295.829999</v>
      </c>
      <c r="F12" s="72">
        <f t="shared" si="0"/>
        <v>17.0685422259676</v>
      </c>
      <c r="G12" s="72">
        <f t="shared" si="1"/>
        <v>97.2171899534802</v>
      </c>
      <c r="H12" s="38"/>
    </row>
    <row r="13" spans="2:8" ht="22.5" customHeight="1">
      <c r="B13" s="64" t="s">
        <v>9</v>
      </c>
      <c r="C13" s="34">
        <f>3681428808.25</f>
        <v>3681428808.25</v>
      </c>
      <c r="D13" s="34">
        <f>3587177716.41</f>
        <v>3587177716.41</v>
      </c>
      <c r="E13" s="34">
        <f>3587107231.89</f>
        <v>3587107231.89</v>
      </c>
      <c r="F13" s="35">
        <f t="shared" si="0"/>
        <v>9.949657739600326</v>
      </c>
      <c r="G13" s="35">
        <f t="shared" si="1"/>
        <v>97.43982304835598</v>
      </c>
      <c r="H13" s="38"/>
    </row>
    <row r="14" spans="2:8" ht="12.75">
      <c r="B14" s="75" t="s">
        <v>6</v>
      </c>
      <c r="C14" s="34">
        <f>147390495.75</f>
        <v>147390495.75</v>
      </c>
      <c r="D14" s="34">
        <f>80920625.11</f>
        <v>80920625.11</v>
      </c>
      <c r="E14" s="34">
        <f>80926142.28</f>
        <v>80926142.28</v>
      </c>
      <c r="F14" s="35">
        <f t="shared" si="0"/>
        <v>0.22444734762814425</v>
      </c>
      <c r="G14" s="35">
        <f t="shared" si="1"/>
        <v>54.90220023905442</v>
      </c>
      <c r="H14" s="38"/>
    </row>
    <row r="15" spans="2:8" ht="13.5" customHeight="1">
      <c r="B15" s="64" t="s">
        <v>7</v>
      </c>
      <c r="C15" s="34">
        <f>913744980.82</f>
        <v>913744980.82</v>
      </c>
      <c r="D15" s="34">
        <f>871649249.53</f>
        <v>871649249.53</v>
      </c>
      <c r="E15" s="34">
        <f>871994240.11</f>
        <v>871994240.11</v>
      </c>
      <c r="F15" s="35">
        <f t="shared" si="0"/>
        <v>2.4176699309122647</v>
      </c>
      <c r="G15" s="35">
        <f t="shared" si="1"/>
        <v>95.39305471727756</v>
      </c>
      <c r="H15" s="38"/>
    </row>
    <row r="16" spans="2:8" ht="12.75">
      <c r="B16" s="75" t="s">
        <v>6</v>
      </c>
      <c r="C16" s="34">
        <f>140548281.13</f>
        <v>140548281.13</v>
      </c>
      <c r="D16" s="34">
        <f>102074493.37</f>
        <v>102074493.37</v>
      </c>
      <c r="E16" s="34">
        <f>102090152.86</f>
        <v>102090152.86</v>
      </c>
      <c r="F16" s="35">
        <f t="shared" si="0"/>
        <v>0.28312125945937466</v>
      </c>
      <c r="G16" s="35">
        <f t="shared" si="1"/>
        <v>72.62592793688192</v>
      </c>
      <c r="H16" s="38"/>
    </row>
    <row r="17" spans="2:8" ht="33" customHeight="1">
      <c r="B17" s="64" t="s">
        <v>10</v>
      </c>
      <c r="C17" s="34">
        <f>69739816.21</f>
        <v>69739816.21</v>
      </c>
      <c r="D17" s="34">
        <f>57098858.73</f>
        <v>57098858.73</v>
      </c>
      <c r="E17" s="34">
        <f>58528140.37</f>
        <v>58528140.37</v>
      </c>
      <c r="F17" s="35">
        <f t="shared" si="0"/>
        <v>0.15837355899217928</v>
      </c>
      <c r="G17" s="35">
        <f t="shared" si="1"/>
        <v>81.87411701525619</v>
      </c>
      <c r="H17" s="38"/>
    </row>
    <row r="18" spans="2:8" ht="12.75">
      <c r="B18" s="75" t="s">
        <v>6</v>
      </c>
      <c r="C18" s="34">
        <f>5732006</f>
        <v>5732006</v>
      </c>
      <c r="D18" s="34">
        <f>3913897.12</f>
        <v>3913897.12</v>
      </c>
      <c r="E18" s="34">
        <f>3913897.12</f>
        <v>3913897.12</v>
      </c>
      <c r="F18" s="35">
        <f t="shared" si="0"/>
        <v>0.010855870506181668</v>
      </c>
      <c r="G18" s="35">
        <f t="shared" si="1"/>
        <v>68.2814553927543</v>
      </c>
      <c r="H18" s="38"/>
    </row>
    <row r="19" spans="2:8" ht="25.5" customHeight="1">
      <c r="B19" s="64" t="s">
        <v>11</v>
      </c>
      <c r="C19" s="34">
        <f>387376058.07</f>
        <v>387376058.07</v>
      </c>
      <c r="D19" s="34">
        <f>375659464.04</f>
        <v>375659464.04</v>
      </c>
      <c r="E19" s="34">
        <f>375862436.46</f>
        <v>375862436.46</v>
      </c>
      <c r="F19" s="35">
        <f t="shared" si="0"/>
        <v>1.0419564876145362</v>
      </c>
      <c r="G19" s="35">
        <f t="shared" si="1"/>
        <v>96.97539541076058</v>
      </c>
      <c r="H19" s="38"/>
    </row>
    <row r="20" spans="2:8" ht="12.75">
      <c r="B20" s="75" t="s">
        <v>6</v>
      </c>
      <c r="C20" s="34">
        <f>59841805.5</f>
        <v>59841805.5</v>
      </c>
      <c r="D20" s="34">
        <f>56195492.74</f>
        <v>56195492.74</v>
      </c>
      <c r="E20" s="34">
        <f>56247992.46</f>
        <v>56247992.46</v>
      </c>
      <c r="F20" s="35">
        <f t="shared" si="0"/>
        <v>0.15586791719668708</v>
      </c>
      <c r="G20" s="35">
        <f t="shared" si="1"/>
        <v>93.90674674747238</v>
      </c>
      <c r="H20" s="38"/>
    </row>
    <row r="21" spans="2:8" ht="35.25" customHeight="1">
      <c r="B21" s="64" t="s">
        <v>65</v>
      </c>
      <c r="C21" s="34">
        <f>767496242.22</f>
        <v>767496242.22</v>
      </c>
      <c r="D21" s="34">
        <f>649176977.56</f>
        <v>649176977.56</v>
      </c>
      <c r="E21" s="34">
        <f>651015777.07</f>
        <v>651015777.07</v>
      </c>
      <c r="F21" s="35">
        <f t="shared" si="0"/>
        <v>1.8006046116985726</v>
      </c>
      <c r="G21" s="35">
        <f t="shared" si="1"/>
        <v>84.58373368477233</v>
      </c>
      <c r="H21" s="38"/>
    </row>
    <row r="22" spans="2:8" ht="12.75">
      <c r="B22" s="75" t="s">
        <v>6</v>
      </c>
      <c r="C22" s="34">
        <f>623059723.12</f>
        <v>623059723.12</v>
      </c>
      <c r="D22" s="34">
        <f>519512068.25</f>
        <v>519512068.25</v>
      </c>
      <c r="E22" s="34">
        <f>521064253.85</f>
        <v>521064253.85</v>
      </c>
      <c r="F22" s="35">
        <f t="shared" si="0"/>
        <v>1.440956562322878</v>
      </c>
      <c r="G22" s="35">
        <f t="shared" si="1"/>
        <v>83.38078180507634</v>
      </c>
      <c r="H22" s="38"/>
    </row>
    <row r="23" spans="2:8" ht="15" customHeight="1">
      <c r="B23" s="64" t="s">
        <v>8</v>
      </c>
      <c r="C23" s="34">
        <f>88522673.27</f>
        <v>88522673.27</v>
      </c>
      <c r="D23" s="34">
        <f>76132915.52</f>
        <v>76132915.52</v>
      </c>
      <c r="E23" s="34">
        <f>75838474.36</f>
        <v>75838474.36</v>
      </c>
      <c r="F23" s="35">
        <f t="shared" si="0"/>
        <v>0.21116780712498354</v>
      </c>
      <c r="G23" s="35">
        <f t="shared" si="1"/>
        <v>86.00385947201299</v>
      </c>
      <c r="H23" s="38"/>
    </row>
    <row r="24" spans="2:8" ht="12.75">
      <c r="B24" s="75" t="s">
        <v>6</v>
      </c>
      <c r="C24" s="34">
        <f>69695700.63</f>
        <v>69695700.63</v>
      </c>
      <c r="D24" s="34">
        <f>57492521.28</f>
        <v>57492521.28</v>
      </c>
      <c r="E24" s="34">
        <f>57071962.35</f>
        <v>57071962.35</v>
      </c>
      <c r="F24" s="35">
        <f t="shared" si="0"/>
        <v>0.15946545015204025</v>
      </c>
      <c r="G24" s="35">
        <f t="shared" si="1"/>
        <v>82.49077168363061</v>
      </c>
      <c r="H24" s="38"/>
    </row>
    <row r="25" spans="2:8" ht="56.25" customHeight="1">
      <c r="B25" s="99" t="s">
        <v>90</v>
      </c>
      <c r="C25" s="100">
        <f>421609925.31</f>
        <v>421609925.31</v>
      </c>
      <c r="D25" s="100">
        <f>536873714.29</f>
        <v>536873714.29</v>
      </c>
      <c r="E25" s="100">
        <f>511486995.57</f>
        <v>511486995.57</v>
      </c>
      <c r="F25" s="101">
        <f t="shared" si="0"/>
        <v>1.489112090024741</v>
      </c>
      <c r="G25" s="101">
        <f t="shared" si="1"/>
        <v>127.33896477775023</v>
      </c>
      <c r="H25" s="38"/>
    </row>
    <row r="26" spans="2:8" ht="12.75">
      <c r="B26" s="75" t="s">
        <v>6</v>
      </c>
      <c r="C26" s="34">
        <f>373244161.2</f>
        <v>373244161.2</v>
      </c>
      <c r="D26" s="34">
        <f>488384966.43</f>
        <v>488384966.43</v>
      </c>
      <c r="E26" s="34">
        <f>462933438.18</f>
        <v>462933438.18</v>
      </c>
      <c r="F26" s="35">
        <f t="shared" si="0"/>
        <v>1.3546201625069698</v>
      </c>
      <c r="G26" s="35">
        <f t="shared" si="1"/>
        <v>130.84865543772102</v>
      </c>
      <c r="H26" s="38"/>
    </row>
    <row r="27" spans="2:8" ht="13.5" customHeight="1">
      <c r="B27" s="70" t="s">
        <v>76</v>
      </c>
      <c r="C27" s="32">
        <f>132245785.02</f>
        <v>132245785.02</v>
      </c>
      <c r="D27" s="32">
        <f>82580323.61</f>
        <v>82580323.61</v>
      </c>
      <c r="E27" s="32">
        <f>78936772.75</f>
        <v>78936772.75</v>
      </c>
      <c r="F27" s="36">
        <f t="shared" si="0"/>
        <v>0.22905080843533684</v>
      </c>
      <c r="G27" s="36">
        <f t="shared" si="1"/>
        <v>62.44457893120079</v>
      </c>
      <c r="H27" s="20"/>
    </row>
    <row r="28" spans="2:8" ht="13.5" customHeight="1">
      <c r="B28" s="65" t="s">
        <v>57</v>
      </c>
      <c r="C28" s="37">
        <f>56856970.24</f>
        <v>56856970.24</v>
      </c>
      <c r="D28" s="37">
        <f>28046929.17</f>
        <v>28046929.17</v>
      </c>
      <c r="E28" s="37">
        <f>27996065.67</f>
        <v>27996065.67</v>
      </c>
      <c r="F28" s="35">
        <f t="shared" si="0"/>
        <v>0.07779300830614815</v>
      </c>
      <c r="G28" s="35">
        <f t="shared" si="1"/>
        <v>49.32891965859347</v>
      </c>
      <c r="H28" s="20"/>
    </row>
    <row r="29" spans="2:8" ht="13.5" customHeight="1">
      <c r="B29" s="70" t="s">
        <v>77</v>
      </c>
      <c r="C29" s="76">
        <f>1365435306.84</f>
        <v>1365435306.84</v>
      </c>
      <c r="D29" s="76">
        <f>1107129101.78</f>
        <v>1107129101.78</v>
      </c>
      <c r="E29" s="76">
        <f>1105358942.92</f>
        <v>1105358942.92</v>
      </c>
      <c r="F29" s="77">
        <f t="shared" si="0"/>
        <v>3.070814023478702</v>
      </c>
      <c r="G29" s="77">
        <f t="shared" si="1"/>
        <v>81.08250139966039</v>
      </c>
      <c r="H29" s="20"/>
    </row>
    <row r="30" spans="2:8" ht="15.75" customHeight="1">
      <c r="B30" s="65" t="s">
        <v>74</v>
      </c>
      <c r="C30" s="37">
        <f>735206118.59</f>
        <v>735206118.59</v>
      </c>
      <c r="D30" s="37">
        <f>585197663.61</f>
        <v>585197663.61</v>
      </c>
      <c r="E30" s="37">
        <f>583185445.03</f>
        <v>583185445.03</v>
      </c>
      <c r="F30" s="35">
        <f t="shared" si="0"/>
        <v>1.6231469202926365</v>
      </c>
      <c r="G30" s="35">
        <f t="shared" si="1"/>
        <v>79.59640824702457</v>
      </c>
      <c r="H30" s="20"/>
    </row>
    <row r="31" spans="2:8" s="5" customFormat="1" ht="23.25" customHeight="1">
      <c r="B31" s="63" t="s">
        <v>46</v>
      </c>
      <c r="C31" s="32">
        <f>C32+C33+C34+C35</f>
        <v>14687646425</v>
      </c>
      <c r="D31" s="32">
        <f>D32+D33+D34+D35</f>
        <v>14962399760</v>
      </c>
      <c r="E31" s="32">
        <f>E32+E33+E34+E35</f>
        <v>14911201800</v>
      </c>
      <c r="F31" s="33">
        <f t="shared" si="0"/>
        <v>41.50080323426684</v>
      </c>
      <c r="G31" s="33">
        <f t="shared" si="1"/>
        <v>101.87064235514507</v>
      </c>
      <c r="H31" s="21"/>
    </row>
    <row r="32" spans="2:8" ht="11.25" customHeight="1">
      <c r="B32" s="64" t="s">
        <v>33</v>
      </c>
      <c r="C32" s="34">
        <f>10167253609</f>
        <v>10167253609</v>
      </c>
      <c r="D32" s="34">
        <f>10166280734</f>
        <v>10166280734</v>
      </c>
      <c r="E32" s="34">
        <f>10117814569</f>
        <v>10117814569</v>
      </c>
      <c r="F32" s="35">
        <f t="shared" si="0"/>
        <v>28.19793770608705</v>
      </c>
      <c r="G32" s="35">
        <f t="shared" si="1"/>
        <v>99.990431290126</v>
      </c>
      <c r="H32" s="20"/>
    </row>
    <row r="33" spans="2:8" ht="10.5" customHeight="1">
      <c r="B33" s="64" t="s">
        <v>32</v>
      </c>
      <c r="C33" s="34">
        <f>785689133</f>
        <v>785689133</v>
      </c>
      <c r="D33" s="34">
        <f>785688651</f>
        <v>785688651</v>
      </c>
      <c r="E33" s="34">
        <f>782956856</f>
        <v>782956856</v>
      </c>
      <c r="F33" s="35">
        <f t="shared" si="0"/>
        <v>2.179243345423592</v>
      </c>
      <c r="G33" s="35">
        <f t="shared" si="1"/>
        <v>99.99993865258156</v>
      </c>
      <c r="H33" s="20"/>
    </row>
    <row r="34" spans="2:8" ht="11.25" customHeight="1">
      <c r="B34" s="64" t="s">
        <v>34</v>
      </c>
      <c r="C34" s="34">
        <f>2867650575</f>
        <v>2867650575</v>
      </c>
      <c r="D34" s="34">
        <f>2867650575</f>
        <v>2867650575</v>
      </c>
      <c r="E34" s="34">
        <f>2867650575</f>
        <v>2867650575</v>
      </c>
      <c r="F34" s="35">
        <f t="shared" si="0"/>
        <v>7.953924782564903</v>
      </c>
      <c r="G34" s="35">
        <f t="shared" si="1"/>
        <v>100</v>
      </c>
      <c r="H34" s="20"/>
    </row>
    <row r="35" spans="2:8" s="5" customFormat="1" ht="12" customHeight="1">
      <c r="B35" s="64" t="s">
        <v>31</v>
      </c>
      <c r="C35" s="34">
        <f>867053108</f>
        <v>867053108</v>
      </c>
      <c r="D35" s="34">
        <f>1142779800</f>
        <v>1142779800</v>
      </c>
      <c r="E35" s="34">
        <f>1142779800</f>
        <v>1142779800</v>
      </c>
      <c r="F35" s="35">
        <f t="shared" si="0"/>
        <v>3.169697400191292</v>
      </c>
      <c r="G35" s="35">
        <f t="shared" si="1"/>
        <v>131.80043868777645</v>
      </c>
      <c r="H35" s="21"/>
    </row>
    <row r="36" spans="2:7" s="5" customFormat="1" ht="12.75">
      <c r="B36" s="78" t="s">
        <v>5</v>
      </c>
      <c r="C36" s="76">
        <f>+C5</f>
        <v>35446064078.63</v>
      </c>
      <c r="D36" s="76">
        <f>+D5</f>
        <v>36053277512.58</v>
      </c>
      <c r="E36" s="76">
        <f>+E5</f>
        <v>35816490633.85</v>
      </c>
      <c r="F36" s="77">
        <f>IF($D$5=0,"",100*$D36/$D$36)</f>
        <v>100</v>
      </c>
      <c r="G36" s="77">
        <f t="shared" si="1"/>
        <v>101.71306307127082</v>
      </c>
    </row>
    <row r="37" spans="2:7" s="5" customFormat="1" ht="13.5" customHeight="1">
      <c r="B37" s="64" t="s">
        <v>59</v>
      </c>
      <c r="C37" s="34">
        <f>3826969336.77</f>
        <v>3826969336.77</v>
      </c>
      <c r="D37" s="34">
        <f>3595498278.92</f>
        <v>3595498278.92</v>
      </c>
      <c r="E37" s="34">
        <f>3569880747.93</f>
        <v>3569880747.93</v>
      </c>
      <c r="F37" s="35">
        <f>IF($D$5=0,"",100*$D37/$D$36)</f>
        <v>9.972736258625668</v>
      </c>
      <c r="G37" s="35">
        <f t="shared" si="1"/>
        <v>93.95158315939464</v>
      </c>
    </row>
    <row r="38" spans="1:13" s="5" customFormat="1" ht="14.25" customHeight="1">
      <c r="A38" s="2"/>
      <c r="B38" s="64" t="s">
        <v>60</v>
      </c>
      <c r="C38" s="34">
        <f>C36-C37</f>
        <v>31619094741.859997</v>
      </c>
      <c r="D38" s="34">
        <f>D36-D37</f>
        <v>32457779233.660004</v>
      </c>
      <c r="E38" s="34">
        <f>E36-E37</f>
        <v>32246609885.92</v>
      </c>
      <c r="F38" s="35">
        <f>IF($D$5=0,"",100*$D38/$D$36)</f>
        <v>90.02726374137434</v>
      </c>
      <c r="G38" s="35">
        <f t="shared" si="1"/>
        <v>102.65246206017937</v>
      </c>
      <c r="I38" s="15"/>
      <c r="J38" s="15"/>
      <c r="K38" s="9"/>
      <c r="L38" s="9"/>
      <c r="M38" s="3"/>
    </row>
    <row r="39" spans="2:13" ht="32.25" customHeight="1">
      <c r="B39" s="124" t="str">
        <f>CONCATENATE("Informacja z wykonania budżetów powiatów za ",$D$92," ",$C$93," rok     ",$C$95,"")</f>
        <v>Informacja z wykonania budżetów powiatów za IV Kwartały 2021 rok     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2:13" s="5" customFormat="1" ht="9" customHeight="1">
      <c r="B40" s="6"/>
      <c r="C40" s="7"/>
      <c r="D40" s="8"/>
      <c r="E40" s="8"/>
      <c r="F40" s="4"/>
      <c r="G40" s="4"/>
      <c r="H40" s="4"/>
      <c r="I40" s="4"/>
      <c r="J40" s="4"/>
      <c r="K40" s="9"/>
      <c r="L40" s="9"/>
      <c r="M40" s="3"/>
    </row>
    <row r="41" spans="2:27" ht="29.25" customHeight="1">
      <c r="B41" s="110" t="s">
        <v>0</v>
      </c>
      <c r="C41" s="111" t="s">
        <v>40</v>
      </c>
      <c r="D41" s="111" t="s">
        <v>41</v>
      </c>
      <c r="E41" s="111" t="s">
        <v>42</v>
      </c>
      <c r="F41" s="111" t="s">
        <v>12</v>
      </c>
      <c r="G41" s="111"/>
      <c r="H41" s="111"/>
      <c r="I41" s="111" t="s">
        <v>75</v>
      </c>
      <c r="J41" s="111"/>
      <c r="K41" s="111" t="s">
        <v>2</v>
      </c>
      <c r="L41" s="109" t="s">
        <v>27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8" customHeight="1">
      <c r="B42" s="110"/>
      <c r="C42" s="111"/>
      <c r="D42" s="122"/>
      <c r="E42" s="111"/>
      <c r="F42" s="104" t="s">
        <v>43</v>
      </c>
      <c r="G42" s="123" t="s">
        <v>25</v>
      </c>
      <c r="H42" s="122"/>
      <c r="I42" s="111"/>
      <c r="J42" s="111"/>
      <c r="K42" s="111"/>
      <c r="L42" s="109"/>
      <c r="M42" s="11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36" customHeight="1">
      <c r="B43" s="110"/>
      <c r="C43" s="111"/>
      <c r="D43" s="122"/>
      <c r="E43" s="111"/>
      <c r="F43" s="122"/>
      <c r="G43" s="17" t="s">
        <v>38</v>
      </c>
      <c r="H43" s="17" t="s">
        <v>39</v>
      </c>
      <c r="I43" s="111"/>
      <c r="J43" s="111"/>
      <c r="K43" s="111"/>
      <c r="L43" s="109"/>
      <c r="M43" s="1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ht="13.5" customHeight="1">
      <c r="B44" s="110"/>
      <c r="C44" s="112" t="s">
        <v>64</v>
      </c>
      <c r="D44" s="112"/>
      <c r="E44" s="112"/>
      <c r="F44" s="112"/>
      <c r="G44" s="112"/>
      <c r="H44" s="112"/>
      <c r="I44" s="112"/>
      <c r="J44" s="112"/>
      <c r="K44" s="112" t="s">
        <v>4</v>
      </c>
      <c r="L44" s="11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ht="11.25" customHeight="1">
      <c r="B45" s="16">
        <v>1</v>
      </c>
      <c r="C45" s="18">
        <v>2</v>
      </c>
      <c r="D45" s="18">
        <v>3</v>
      </c>
      <c r="E45" s="18">
        <v>4</v>
      </c>
      <c r="F45" s="16">
        <v>5</v>
      </c>
      <c r="G45" s="16">
        <v>6</v>
      </c>
      <c r="H45" s="18">
        <v>7</v>
      </c>
      <c r="I45" s="122">
        <v>8</v>
      </c>
      <c r="J45" s="122"/>
      <c r="K45" s="16">
        <v>9</v>
      </c>
      <c r="L45" s="18">
        <v>10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12" ht="25.5" customHeight="1">
      <c r="B46" s="79" t="s">
        <v>47</v>
      </c>
      <c r="C46" s="80">
        <f>37650554854.01</f>
        <v>37650554854.01</v>
      </c>
      <c r="D46" s="80">
        <f>34188839590.71</f>
        <v>34188839590.71</v>
      </c>
      <c r="E46" s="80">
        <f>34172719054.97</f>
        <v>34172719054.97</v>
      </c>
      <c r="F46" s="80">
        <f>1673749505.15</f>
        <v>1673749505.15</v>
      </c>
      <c r="G46" s="80">
        <f>193103.76</f>
        <v>193103.76</v>
      </c>
      <c r="H46" s="80">
        <f>1250416.3</f>
        <v>1250416.3</v>
      </c>
      <c r="I46" s="116">
        <f>422872578.5</f>
        <v>422872578.5</v>
      </c>
      <c r="J46" s="116"/>
      <c r="K46" s="57">
        <f aca="true" t="shared" si="2" ref="K46:K55">IF($E$46=0,"",100*$E46/$E$46)</f>
        <v>100</v>
      </c>
      <c r="L46" s="57">
        <f aca="true" t="shared" si="3" ref="L46:L55">IF(C46=0,"",100*E46/C46)</f>
        <v>90.76285645052162</v>
      </c>
    </row>
    <row r="47" spans="2:12" ht="12.75">
      <c r="B47" s="31" t="s">
        <v>14</v>
      </c>
      <c r="C47" s="41">
        <f>7170546515.15</f>
        <v>7170546515.15</v>
      </c>
      <c r="D47" s="41">
        <f>5431791173.17</f>
        <v>5431791173.17</v>
      </c>
      <c r="E47" s="41">
        <f>5427666219.13</f>
        <v>5427666219.13</v>
      </c>
      <c r="F47" s="41">
        <f>48671087.57</f>
        <v>48671087.57</v>
      </c>
      <c r="G47" s="41">
        <f>61.64</f>
        <v>61.64</v>
      </c>
      <c r="H47" s="41">
        <f>0</f>
        <v>0</v>
      </c>
      <c r="I47" s="117">
        <f>384142027.94</f>
        <v>384142027.94</v>
      </c>
      <c r="J47" s="118"/>
      <c r="K47" s="42">
        <f t="shared" si="2"/>
        <v>15.883038778386624</v>
      </c>
      <c r="L47" s="42">
        <f t="shared" si="3"/>
        <v>75.69389875182281</v>
      </c>
    </row>
    <row r="48" spans="2:12" ht="22.5" customHeight="1">
      <c r="B48" s="19" t="s">
        <v>13</v>
      </c>
      <c r="C48" s="37">
        <f>7059136014.35</f>
        <v>7059136014.35</v>
      </c>
      <c r="D48" s="37">
        <f>5328158092.09</f>
        <v>5328158092.09</v>
      </c>
      <c r="E48" s="37">
        <f>5324033138.05</f>
        <v>5324033138.05</v>
      </c>
      <c r="F48" s="37">
        <f>48671087.57</f>
        <v>48671087.57</v>
      </c>
      <c r="G48" s="37">
        <f>61.64</f>
        <v>61.64</v>
      </c>
      <c r="H48" s="37">
        <f>0</f>
        <v>0</v>
      </c>
      <c r="I48" s="113">
        <f>384142027.94</f>
        <v>384142027.94</v>
      </c>
      <c r="J48" s="114"/>
      <c r="K48" s="43">
        <f t="shared" si="2"/>
        <v>15.579776164389486</v>
      </c>
      <c r="L48" s="43">
        <f t="shared" si="3"/>
        <v>75.42046402317739</v>
      </c>
    </row>
    <row r="49" spans="2:12" ht="25.5" customHeight="1">
      <c r="B49" s="31" t="s">
        <v>48</v>
      </c>
      <c r="C49" s="41">
        <f aca="true" t="shared" si="4" ref="C49:I49">C46-C47</f>
        <v>30480008338.86</v>
      </c>
      <c r="D49" s="41">
        <f t="shared" si="4"/>
        <v>28757048417.54</v>
      </c>
      <c r="E49" s="41">
        <f t="shared" si="4"/>
        <v>28745052835.84</v>
      </c>
      <c r="F49" s="41">
        <f t="shared" si="4"/>
        <v>1625078417.5800002</v>
      </c>
      <c r="G49" s="41">
        <f t="shared" si="4"/>
        <v>193042.12</v>
      </c>
      <c r="H49" s="41">
        <f t="shared" si="4"/>
        <v>1250416.3</v>
      </c>
      <c r="I49" s="117">
        <f t="shared" si="4"/>
        <v>38730550.56</v>
      </c>
      <c r="J49" s="117"/>
      <c r="K49" s="42">
        <f t="shared" si="2"/>
        <v>84.11696122161338</v>
      </c>
      <c r="L49" s="42">
        <f t="shared" si="3"/>
        <v>94.30789032689323</v>
      </c>
    </row>
    <row r="50" spans="2:12" ht="22.5">
      <c r="B50" s="19" t="s">
        <v>88</v>
      </c>
      <c r="C50" s="37">
        <f>18512961691.75</f>
        <v>18512961691.75</v>
      </c>
      <c r="D50" s="37">
        <f>18100709991.72</f>
        <v>18100709991.72</v>
      </c>
      <c r="E50" s="37">
        <f>18095365444.58</f>
        <v>18095365444.58</v>
      </c>
      <c r="F50" s="37">
        <f>1409690282.06</f>
        <v>1409690282.06</v>
      </c>
      <c r="G50" s="37">
        <f>0</f>
        <v>0</v>
      </c>
      <c r="H50" s="37">
        <f>3928.71</f>
        <v>3928.71</v>
      </c>
      <c r="I50" s="113">
        <f>22440</f>
        <v>22440</v>
      </c>
      <c r="J50" s="114"/>
      <c r="K50" s="43">
        <f t="shared" si="2"/>
        <v>52.95266500588356</v>
      </c>
      <c r="L50" s="43">
        <f t="shared" si="3"/>
        <v>97.74430340145904</v>
      </c>
    </row>
    <row r="51" spans="2:12" ht="13.5" customHeight="1">
      <c r="B51" s="22" t="s">
        <v>37</v>
      </c>
      <c r="C51" s="81">
        <f>2290908427.97</f>
        <v>2290908427.97</v>
      </c>
      <c r="D51" s="81">
        <f>2174610588.37</f>
        <v>2174610588.37</v>
      </c>
      <c r="E51" s="81">
        <f>2174504683.52</f>
        <v>2174504683.52</v>
      </c>
      <c r="F51" s="81">
        <f>1647815.21</f>
        <v>1647815.21</v>
      </c>
      <c r="G51" s="81">
        <f>0</f>
        <v>0</v>
      </c>
      <c r="H51" s="81">
        <f>950635.7</f>
        <v>950635.7</v>
      </c>
      <c r="I51" s="115">
        <f>0</f>
        <v>0</v>
      </c>
      <c r="J51" s="115"/>
      <c r="K51" s="82">
        <f t="shared" si="2"/>
        <v>6.363276741374038</v>
      </c>
      <c r="L51" s="82">
        <f t="shared" si="3"/>
        <v>94.9188827004689</v>
      </c>
    </row>
    <row r="52" spans="2:12" ht="13.5" customHeight="1">
      <c r="B52" s="22" t="s">
        <v>36</v>
      </c>
      <c r="C52" s="34">
        <f>132521987.33</f>
        <v>132521987.33</v>
      </c>
      <c r="D52" s="34">
        <f>86984061.16</f>
        <v>86984061.16</v>
      </c>
      <c r="E52" s="34">
        <f>86738403.26</f>
        <v>86738403.26</v>
      </c>
      <c r="F52" s="34">
        <f>2264436.86</f>
        <v>2264436.86</v>
      </c>
      <c r="G52" s="34">
        <f>0</f>
        <v>0</v>
      </c>
      <c r="H52" s="34">
        <f>0</f>
        <v>0</v>
      </c>
      <c r="I52" s="121">
        <f>0</f>
        <v>0</v>
      </c>
      <c r="J52" s="121"/>
      <c r="K52" s="82">
        <f t="shared" si="2"/>
        <v>0.25382353426566145</v>
      </c>
      <c r="L52" s="82">
        <f t="shared" si="3"/>
        <v>65.45208459937152</v>
      </c>
    </row>
    <row r="53" spans="2:12" ht="22.5" customHeight="1">
      <c r="B53" s="22" t="s">
        <v>54</v>
      </c>
      <c r="C53" s="81">
        <f>32850799.72</f>
        <v>32850799.72</v>
      </c>
      <c r="D53" s="81">
        <f>4099732.39</f>
        <v>4099732.39</v>
      </c>
      <c r="E53" s="81">
        <f>4099732.39</f>
        <v>4099732.39</v>
      </c>
      <c r="F53" s="81">
        <f>40800</f>
        <v>40800</v>
      </c>
      <c r="G53" s="81">
        <f>0</f>
        <v>0</v>
      </c>
      <c r="H53" s="81">
        <f>0</f>
        <v>0</v>
      </c>
      <c r="I53" s="115">
        <f>0</f>
        <v>0</v>
      </c>
      <c r="J53" s="115"/>
      <c r="K53" s="82">
        <f t="shared" si="2"/>
        <v>0.011997091549563845</v>
      </c>
      <c r="L53" s="82">
        <f t="shared" si="3"/>
        <v>12.479855665443752</v>
      </c>
    </row>
    <row r="54" spans="2:12" ht="22.5" customHeight="1">
      <c r="B54" s="22" t="s">
        <v>56</v>
      </c>
      <c r="C54" s="81">
        <f>1258289947.26</f>
        <v>1258289947.26</v>
      </c>
      <c r="D54" s="81">
        <f>1191829566.45</f>
        <v>1191829566.45</v>
      </c>
      <c r="E54" s="81">
        <f>1191309388.98</f>
        <v>1191309388.98</v>
      </c>
      <c r="F54" s="81">
        <f>9961282.32999999</f>
        <v>9961282.32999999</v>
      </c>
      <c r="G54" s="81">
        <f>0</f>
        <v>0</v>
      </c>
      <c r="H54" s="81">
        <f>0</f>
        <v>0</v>
      </c>
      <c r="I54" s="119">
        <f>7200</f>
        <v>7200</v>
      </c>
      <c r="J54" s="120"/>
      <c r="K54" s="82">
        <f t="shared" si="2"/>
        <v>3.486141641417728</v>
      </c>
      <c r="L54" s="82">
        <f t="shared" si="3"/>
        <v>94.67685818949329</v>
      </c>
    </row>
    <row r="55" spans="2:12" ht="13.5" customHeight="1">
      <c r="B55" s="19" t="s">
        <v>35</v>
      </c>
      <c r="C55" s="37">
        <f aca="true" t="shared" si="5" ref="C55:I55">C49-C50-C51-C52-C53-C54</f>
        <v>8252475484.830002</v>
      </c>
      <c r="D55" s="37">
        <f t="shared" si="5"/>
        <v>7198814477.45</v>
      </c>
      <c r="E55" s="37">
        <f t="shared" si="5"/>
        <v>7193035183.109997</v>
      </c>
      <c r="F55" s="37">
        <f t="shared" si="5"/>
        <v>201473801.1200002</v>
      </c>
      <c r="G55" s="37">
        <f t="shared" si="5"/>
        <v>193042.12</v>
      </c>
      <c r="H55" s="37">
        <f t="shared" si="5"/>
        <v>295851.89000000013</v>
      </c>
      <c r="I55" s="125">
        <f t="shared" si="5"/>
        <v>38700910.56</v>
      </c>
      <c r="J55" s="126"/>
      <c r="K55" s="43">
        <f t="shared" si="2"/>
        <v>21.04905720712282</v>
      </c>
      <c r="L55" s="43">
        <f t="shared" si="3"/>
        <v>87.16215148209156</v>
      </c>
    </row>
    <row r="56" spans="2:13" ht="12.75">
      <c r="B56" s="79" t="s">
        <v>15</v>
      </c>
      <c r="C56" s="87">
        <f>C5-C46</f>
        <v>-2204490775.380005</v>
      </c>
      <c r="D56" s="87"/>
      <c r="E56" s="87">
        <f>D5-E46</f>
        <v>1880558457.6100006</v>
      </c>
      <c r="F56" s="87"/>
      <c r="G56" s="87"/>
      <c r="H56" s="87"/>
      <c r="I56" s="117"/>
      <c r="J56" s="117"/>
      <c r="K56" s="91"/>
      <c r="L56" s="91"/>
      <c r="M56" s="13"/>
    </row>
    <row r="57" spans="2:13" ht="39" customHeight="1">
      <c r="B57" s="88" t="s">
        <v>78</v>
      </c>
      <c r="C57" s="89">
        <f>C38-C49</f>
        <v>1139086402.9999962</v>
      </c>
      <c r="D57" s="90"/>
      <c r="E57" s="89">
        <f>D38-E49</f>
        <v>3712726397.8200035</v>
      </c>
      <c r="F57" s="90"/>
      <c r="G57" s="90"/>
      <c r="H57" s="90"/>
      <c r="I57" s="90"/>
      <c r="J57" s="90"/>
      <c r="K57" s="44"/>
      <c r="L57" s="45"/>
      <c r="M57" s="10"/>
    </row>
    <row r="58" spans="2:13" ht="12" customHeight="1" thickBot="1">
      <c r="B58" s="39"/>
      <c r="C58" s="46"/>
      <c r="D58" s="46"/>
      <c r="E58" s="46"/>
      <c r="F58" s="47"/>
      <c r="G58" s="47"/>
      <c r="H58" s="47"/>
      <c r="I58" s="47"/>
      <c r="J58" s="44"/>
      <c r="K58" s="44"/>
      <c r="L58" s="45"/>
      <c r="M58" s="10"/>
    </row>
    <row r="59" spans="2:13" ht="12" customHeight="1" thickBot="1">
      <c r="B59" s="40" t="s">
        <v>61</v>
      </c>
      <c r="C59" s="46"/>
      <c r="D59" s="46"/>
      <c r="E59" s="46"/>
      <c r="F59" s="47"/>
      <c r="G59" s="47"/>
      <c r="H59" s="47"/>
      <c r="I59" s="47"/>
      <c r="J59" s="44"/>
      <c r="K59" s="44"/>
      <c r="L59" s="45"/>
      <c r="M59" s="10"/>
    </row>
    <row r="60" spans="2:13" ht="30" customHeight="1" thickBot="1">
      <c r="B60" s="86" t="s">
        <v>79</v>
      </c>
      <c r="C60" s="83">
        <f>2125767221.87</f>
        <v>2125767221.87</v>
      </c>
      <c r="D60" s="83">
        <f>1586376944.18</f>
        <v>1586376944.18</v>
      </c>
      <c r="E60" s="83">
        <f>1585057171.79</f>
        <v>1585057171.79</v>
      </c>
      <c r="F60" s="83">
        <f>13022406.5</f>
        <v>13022406.5</v>
      </c>
      <c r="G60" s="83">
        <f>0</f>
        <v>0</v>
      </c>
      <c r="H60" s="83">
        <f>0</f>
        <v>0</v>
      </c>
      <c r="I60" s="83">
        <f>14553513.34</f>
        <v>14553513.34</v>
      </c>
      <c r="J60" s="83">
        <f>0</f>
        <v>0</v>
      </c>
      <c r="K60" s="57">
        <f>IF($E$46=0,"",100*$E60/$E$60)</f>
        <v>100</v>
      </c>
      <c r="L60" s="84">
        <f>IF(C60=0,"",100*E60/C60)</f>
        <v>74.5640047265219</v>
      </c>
      <c r="M60" s="10"/>
    </row>
    <row r="61" spans="2:12" ht="13.5" thickBot="1">
      <c r="B61" s="85" t="s">
        <v>62</v>
      </c>
      <c r="C61" s="81">
        <f>1059704435.81</f>
        <v>1059704435.81</v>
      </c>
      <c r="D61" s="81">
        <f>842012216.869999</f>
        <v>842012216.869999</v>
      </c>
      <c r="E61" s="81">
        <f>841970128.609999</f>
        <v>841970128.609999</v>
      </c>
      <c r="F61" s="81">
        <f>6760352.93</f>
        <v>6760352.93</v>
      </c>
      <c r="G61" s="81">
        <f>0</f>
        <v>0</v>
      </c>
      <c r="H61" s="81">
        <f>0</f>
        <v>0</v>
      </c>
      <c r="I61" s="81">
        <f>13585841.19</f>
        <v>13585841.19</v>
      </c>
      <c r="J61" s="81">
        <f>0</f>
        <v>0</v>
      </c>
      <c r="K61" s="82">
        <f>IF($E$46=0,"",100*$E61/$E$60)</f>
        <v>53.11922772218776</v>
      </c>
      <c r="L61" s="82">
        <f>IF(C61=0,"",100*E61/C61)</f>
        <v>79.45329850076803</v>
      </c>
    </row>
    <row r="62" spans="2:12" ht="13.5" thickBot="1">
      <c r="B62" s="85" t="s">
        <v>63</v>
      </c>
      <c r="C62" s="81">
        <f>C60-C61</f>
        <v>1066062786.06</v>
      </c>
      <c r="D62" s="81">
        <f aca="true" t="shared" si="6" ref="D62:J62">D60-D61</f>
        <v>744364727.310001</v>
      </c>
      <c r="E62" s="81">
        <f t="shared" si="6"/>
        <v>743087043.180001</v>
      </c>
      <c r="F62" s="81">
        <f t="shared" si="6"/>
        <v>6262053.57</v>
      </c>
      <c r="G62" s="81">
        <f t="shared" si="6"/>
        <v>0</v>
      </c>
      <c r="H62" s="81">
        <f t="shared" si="6"/>
        <v>0</v>
      </c>
      <c r="I62" s="81">
        <f t="shared" si="6"/>
        <v>967672.1500000004</v>
      </c>
      <c r="J62" s="81">
        <f t="shared" si="6"/>
        <v>0</v>
      </c>
      <c r="K62" s="82">
        <f>IF($E$46=0,"",100*$E62/$E$60)</f>
        <v>46.88077227781224</v>
      </c>
      <c r="L62" s="82">
        <f>IF(C62=0,"",100*E62/C62)</f>
        <v>69.70387231378122</v>
      </c>
    </row>
    <row r="63" spans="2:13" ht="25.5" customHeight="1">
      <c r="B63" s="124" t="str">
        <f>CONCATENATE("Informacja z wykonania budżetów powiatów za ",$D$92," ",$C$93," rok     ",$C$95,"")</f>
        <v>Informacja z wykonania budżetów powiatów za IV Kwartały 2021 rok     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</row>
    <row r="64" spans="2:8" ht="12.75">
      <c r="B64" s="28" t="s">
        <v>16</v>
      </c>
      <c r="C64" s="102" t="s">
        <v>17</v>
      </c>
      <c r="D64" s="103"/>
      <c r="E64" s="102" t="s">
        <v>1</v>
      </c>
      <c r="F64" s="103"/>
      <c r="G64" s="18" t="s">
        <v>22</v>
      </c>
      <c r="H64" s="18" t="s">
        <v>23</v>
      </c>
    </row>
    <row r="65" spans="2:8" ht="12.75">
      <c r="B65" s="28"/>
      <c r="C65" s="104" t="s">
        <v>64</v>
      </c>
      <c r="D65" s="105"/>
      <c r="E65" s="105"/>
      <c r="F65" s="106"/>
      <c r="G65" s="107" t="s">
        <v>4</v>
      </c>
      <c r="H65" s="108"/>
    </row>
    <row r="66" spans="2:8" ht="12.75">
      <c r="B66" s="26">
        <v>1</v>
      </c>
      <c r="C66" s="29">
        <v>2</v>
      </c>
      <c r="D66" s="30"/>
      <c r="E66" s="29">
        <v>3</v>
      </c>
      <c r="F66" s="30"/>
      <c r="G66" s="27">
        <v>4</v>
      </c>
      <c r="H66" s="27">
        <v>5</v>
      </c>
    </row>
    <row r="67" spans="2:8" ht="22.5">
      <c r="B67" s="67" t="s">
        <v>49</v>
      </c>
      <c r="C67" s="48">
        <f>3635630105.09</f>
        <v>3635630105.09</v>
      </c>
      <c r="D67" s="49"/>
      <c r="E67" s="48">
        <f>5789605732.48</f>
        <v>5789605732.48</v>
      </c>
      <c r="F67" s="49"/>
      <c r="G67" s="50">
        <f>IF($E$67=0,"",100*$E67/$E$67)</f>
        <v>100.00000000000001</v>
      </c>
      <c r="H67" s="42">
        <f>IF(C67=0,"",100*E67/C67)</f>
        <v>159.24628097820963</v>
      </c>
    </row>
    <row r="68" spans="2:8" ht="25.5" customHeight="1">
      <c r="B68" s="68" t="s">
        <v>80</v>
      </c>
      <c r="C68" s="51">
        <f>633714210.13</f>
        <v>633714210.13</v>
      </c>
      <c r="D68" s="52"/>
      <c r="E68" s="51">
        <f>555251208.25</f>
        <v>555251208.25</v>
      </c>
      <c r="F68" s="52"/>
      <c r="G68" s="53">
        <f aca="true" t="shared" si="7" ref="G68:G75">IF($E$67=0,"",100*$E68/$E$67)</f>
        <v>9.590483944960377</v>
      </c>
      <c r="H68" s="54">
        <f aca="true" t="shared" si="8" ref="H68:H80">IF(C68=0,"",100*E68/C68)</f>
        <v>87.61855097680323</v>
      </c>
    </row>
    <row r="69" spans="2:8" ht="24" customHeight="1">
      <c r="B69" s="92" t="s">
        <v>81</v>
      </c>
      <c r="C69" s="93">
        <f>29773000</f>
        <v>29773000</v>
      </c>
      <c r="D69" s="94"/>
      <c r="E69" s="93">
        <f>29773000</f>
        <v>29773000</v>
      </c>
      <c r="F69" s="94"/>
      <c r="G69" s="95">
        <f t="shared" si="7"/>
        <v>0.5142491799220777</v>
      </c>
      <c r="H69" s="96">
        <f t="shared" si="8"/>
        <v>100</v>
      </c>
    </row>
    <row r="70" spans="2:8" ht="12.75">
      <c r="B70" s="97" t="s">
        <v>82</v>
      </c>
      <c r="C70" s="93">
        <f>43271276.72</f>
        <v>43271276.72</v>
      </c>
      <c r="D70" s="94"/>
      <c r="E70" s="93">
        <f>38077810.64</f>
        <v>38077810.64</v>
      </c>
      <c r="F70" s="94"/>
      <c r="G70" s="95">
        <f t="shared" si="7"/>
        <v>0.6576926374516564</v>
      </c>
      <c r="H70" s="96">
        <f t="shared" si="8"/>
        <v>87.99789034743323</v>
      </c>
    </row>
    <row r="71" spans="2:8" ht="16.5" customHeight="1">
      <c r="B71" s="97" t="s">
        <v>83</v>
      </c>
      <c r="C71" s="93">
        <f>297220759.56</f>
        <v>297220759.56</v>
      </c>
      <c r="D71" s="94"/>
      <c r="E71" s="93">
        <f>895016250.75</f>
        <v>895016250.75</v>
      </c>
      <c r="F71" s="94"/>
      <c r="G71" s="95">
        <f t="shared" si="7"/>
        <v>15.459019009341356</v>
      </c>
      <c r="H71" s="96">
        <f t="shared" si="8"/>
        <v>301.12844475431837</v>
      </c>
    </row>
    <row r="72" spans="2:8" ht="54" customHeight="1">
      <c r="B72" s="97" t="s">
        <v>89</v>
      </c>
      <c r="C72" s="93">
        <f>1452906677.92</f>
        <v>1452906677.92</v>
      </c>
      <c r="D72" s="94"/>
      <c r="E72" s="93">
        <f>2007367383.77</f>
        <v>2007367383.77</v>
      </c>
      <c r="F72" s="94"/>
      <c r="G72" s="95">
        <f t="shared" si="7"/>
        <v>34.671918547208854</v>
      </c>
      <c r="H72" s="96">
        <f t="shared" si="8"/>
        <v>138.16216927599046</v>
      </c>
    </row>
    <row r="73" spans="2:8" ht="12.75">
      <c r="B73" s="97" t="s">
        <v>84</v>
      </c>
      <c r="C73" s="93">
        <f>0</f>
        <v>0</v>
      </c>
      <c r="D73" s="94"/>
      <c r="E73" s="93">
        <f>0</f>
        <v>0</v>
      </c>
      <c r="F73" s="94"/>
      <c r="G73" s="95">
        <f t="shared" si="7"/>
        <v>0</v>
      </c>
      <c r="H73" s="96">
        <f t="shared" si="8"/>
      </c>
    </row>
    <row r="74" spans="2:8" ht="33.75">
      <c r="B74" s="97" t="s">
        <v>66</v>
      </c>
      <c r="C74" s="93">
        <f>1183486159.05</f>
        <v>1183486159.05</v>
      </c>
      <c r="D74" s="94"/>
      <c r="E74" s="93">
        <f>2268862057.36</f>
        <v>2268862057.36</v>
      </c>
      <c r="F74" s="94"/>
      <c r="G74" s="95">
        <f t="shared" si="7"/>
        <v>39.1885417107345</v>
      </c>
      <c r="H74" s="96">
        <f t="shared" si="8"/>
        <v>191.71006268305206</v>
      </c>
    </row>
    <row r="75" spans="2:8" ht="12.75">
      <c r="B75" s="92" t="s">
        <v>67</v>
      </c>
      <c r="C75" s="93">
        <f>25031021.71</f>
        <v>25031021.71</v>
      </c>
      <c r="D75" s="94"/>
      <c r="E75" s="93">
        <f>25031021.71</f>
        <v>25031021.71</v>
      </c>
      <c r="F75" s="94"/>
      <c r="G75" s="95">
        <f t="shared" si="7"/>
        <v>0.4323441503032689</v>
      </c>
      <c r="H75" s="96">
        <f t="shared" si="8"/>
        <v>100</v>
      </c>
    </row>
    <row r="76" spans="2:8" ht="22.5">
      <c r="B76" s="67" t="s">
        <v>50</v>
      </c>
      <c r="C76" s="60">
        <f>1379951012.38</f>
        <v>1379951012.38</v>
      </c>
      <c r="D76" s="61"/>
      <c r="E76" s="60">
        <f>1228076464.74</f>
        <v>1228076464.74</v>
      </c>
      <c r="F76" s="61"/>
      <c r="G76" s="50">
        <f>IF($E$76=0,"",100*$E76/$E$76)</f>
        <v>100</v>
      </c>
      <c r="H76" s="42">
        <f t="shared" si="8"/>
        <v>88.99420731044196</v>
      </c>
    </row>
    <row r="77" spans="2:8" ht="33.75" customHeight="1">
      <c r="B77" s="68" t="s">
        <v>87</v>
      </c>
      <c r="C77" s="51">
        <f>842691462.03</f>
        <v>842691462.03</v>
      </c>
      <c r="D77" s="59"/>
      <c r="E77" s="58">
        <f>839832421.05</f>
        <v>839832421.05</v>
      </c>
      <c r="F77" s="59"/>
      <c r="G77" s="53">
        <f>IF($E$76=0,"",100*$E77/$E$76)</f>
        <v>68.3860040610585</v>
      </c>
      <c r="H77" s="54">
        <f t="shared" si="8"/>
        <v>99.66072505669956</v>
      </c>
    </row>
    <row r="78" spans="2:8" ht="12" customHeight="1">
      <c r="B78" s="97" t="s">
        <v>85</v>
      </c>
      <c r="C78" s="93">
        <f>26520000</f>
        <v>26520000</v>
      </c>
      <c r="D78" s="94"/>
      <c r="E78" s="93">
        <f>26562000</f>
        <v>26562000</v>
      </c>
      <c r="F78" s="94"/>
      <c r="G78" s="95">
        <f>IF($E$76=0,"",100*$E78/$E$76)</f>
        <v>2.162894637478744</v>
      </c>
      <c r="H78" s="96">
        <f t="shared" si="8"/>
        <v>100.15837104072398</v>
      </c>
    </row>
    <row r="79" spans="2:8" ht="12.75">
      <c r="B79" s="97" t="s">
        <v>86</v>
      </c>
      <c r="C79" s="93">
        <f>78567009.22</f>
        <v>78567009.22</v>
      </c>
      <c r="D79" s="94"/>
      <c r="E79" s="93">
        <f>58576390.69</f>
        <v>58576390.69</v>
      </c>
      <c r="F79" s="94"/>
      <c r="G79" s="95">
        <f>IF($E$76=0,"",100*$E79/$E$76)</f>
        <v>4.769767385974732</v>
      </c>
      <c r="H79" s="96">
        <f t="shared" si="8"/>
        <v>74.555963465501</v>
      </c>
    </row>
    <row r="80" spans="2:8" ht="12.75">
      <c r="B80" s="69" t="s">
        <v>24</v>
      </c>
      <c r="C80" s="93">
        <f>458692541.13</f>
        <v>458692541.13</v>
      </c>
      <c r="D80" s="94"/>
      <c r="E80" s="93">
        <f>329667653</f>
        <v>329667653</v>
      </c>
      <c r="F80" s="94"/>
      <c r="G80" s="95">
        <f>IF($E$76=0,"",100*$E80/$E$76)</f>
        <v>26.844228552966772</v>
      </c>
      <c r="H80" s="96">
        <f t="shared" si="8"/>
        <v>71.87116062272473</v>
      </c>
    </row>
    <row r="81" ht="12.75">
      <c r="B81" s="24"/>
    </row>
    <row r="82" spans="2:8" ht="12.75">
      <c r="B82" s="62" t="s">
        <v>16</v>
      </c>
      <c r="C82" s="102" t="s">
        <v>17</v>
      </c>
      <c r="D82" s="103"/>
      <c r="E82" s="102" t="s">
        <v>1</v>
      </c>
      <c r="F82" s="103"/>
      <c r="G82" s="18" t="s">
        <v>22</v>
      </c>
      <c r="H82" s="18" t="s">
        <v>23</v>
      </c>
    </row>
    <row r="83" spans="2:8" ht="12.75">
      <c r="B83" s="62"/>
      <c r="C83" s="104" t="s">
        <v>64</v>
      </c>
      <c r="D83" s="105"/>
      <c r="E83" s="105"/>
      <c r="F83" s="106"/>
      <c r="G83" s="107" t="s">
        <v>4</v>
      </c>
      <c r="H83" s="108"/>
    </row>
    <row r="84" spans="2:8" ht="12.75">
      <c r="B84" s="26">
        <v>1</v>
      </c>
      <c r="C84" s="29">
        <v>2</v>
      </c>
      <c r="D84" s="30"/>
      <c r="E84" s="29">
        <v>3</v>
      </c>
      <c r="F84" s="30"/>
      <c r="G84" s="27">
        <v>4</v>
      </c>
      <c r="H84" s="27">
        <v>5</v>
      </c>
    </row>
    <row r="85" spans="2:8" ht="22.5">
      <c r="B85" s="66" t="s">
        <v>68</v>
      </c>
      <c r="C85" s="55">
        <f>2305402530.76</f>
        <v>2305402530.76</v>
      </c>
      <c r="D85" s="56"/>
      <c r="E85" s="55">
        <f>145322620.12</f>
        <v>145322620.12</v>
      </c>
      <c r="F85" s="49"/>
      <c r="G85" s="50"/>
      <c r="H85" s="42"/>
    </row>
    <row r="86" spans="2:8" ht="56.25">
      <c r="B86" s="98" t="s">
        <v>69</v>
      </c>
      <c r="C86" s="93">
        <f>15203648</f>
        <v>15203648</v>
      </c>
      <c r="D86" s="94"/>
      <c r="E86" s="93">
        <f>1750846.51</f>
        <v>1750846.51</v>
      </c>
      <c r="F86" s="94"/>
      <c r="G86" s="95"/>
      <c r="H86" s="96"/>
    </row>
    <row r="87" spans="2:8" ht="12.75">
      <c r="B87" s="98" t="s">
        <v>70</v>
      </c>
      <c r="C87" s="93">
        <f>356049219.22</f>
        <v>356049219.22</v>
      </c>
      <c r="D87" s="94"/>
      <c r="E87" s="93">
        <f>45558481.53</f>
        <v>45558481.53</v>
      </c>
      <c r="F87" s="94"/>
      <c r="G87" s="95"/>
      <c r="H87" s="96"/>
    </row>
    <row r="88" spans="2:8" ht="22.5">
      <c r="B88" s="98" t="s">
        <v>71</v>
      </c>
      <c r="C88" s="93">
        <f>0</f>
        <v>0</v>
      </c>
      <c r="D88" s="94"/>
      <c r="E88" s="93">
        <f>0</f>
        <v>0</v>
      </c>
      <c r="F88" s="94"/>
      <c r="G88" s="95"/>
      <c r="H88" s="96"/>
    </row>
    <row r="89" spans="2:8" ht="33.75">
      <c r="B89" s="98" t="s">
        <v>72</v>
      </c>
      <c r="C89" s="93">
        <f>179061021.75</f>
        <v>179061021.75</v>
      </c>
      <c r="D89" s="94"/>
      <c r="E89" s="93">
        <f>7641609.47</f>
        <v>7641609.47</v>
      </c>
      <c r="F89" s="94"/>
      <c r="G89" s="95"/>
      <c r="H89" s="96"/>
    </row>
    <row r="90" spans="2:8" ht="101.25">
      <c r="B90" s="98" t="s">
        <v>73</v>
      </c>
      <c r="C90" s="93">
        <f>624453758.05</f>
        <v>624453758.05</v>
      </c>
      <c r="D90" s="94"/>
      <c r="E90" s="93">
        <f>29408002.66</f>
        <v>29408002.66</v>
      </c>
      <c r="F90" s="94"/>
      <c r="G90" s="95"/>
      <c r="H90" s="96"/>
    </row>
    <row r="92" spans="2:4" ht="10.5" customHeight="1">
      <c r="B92" s="23" t="s">
        <v>51</v>
      </c>
      <c r="C92" s="23">
        <f>4</f>
        <v>4</v>
      </c>
      <c r="D92" s="23" t="str">
        <f>IF(C92=1,"I Kwartał",IF(C92=2,"II Kwartały",IF(C92=3,"III Kwartały",IF(C92=4,"IV Kwartały","-"))))</f>
        <v>IV Kwartały</v>
      </c>
    </row>
    <row r="93" spans="2:4" ht="10.5" customHeight="1">
      <c r="B93" s="23" t="s">
        <v>52</v>
      </c>
      <c r="C93" s="23">
        <f>2021</f>
        <v>2021</v>
      </c>
      <c r="D93" s="24"/>
    </row>
    <row r="94" spans="2:4" ht="9.75" customHeight="1">
      <c r="B94" s="23" t="s">
        <v>53</v>
      </c>
      <c r="C94" s="25" t="str">
        <f>"Mar 21 2022 12:00AM"</f>
        <v>Mar 21 2022 12:00AM</v>
      </c>
      <c r="D94" s="24"/>
    </row>
    <row r="95" spans="2:4" ht="9.75" customHeight="1">
      <c r="B95" s="23" t="s">
        <v>58</v>
      </c>
      <c r="C95" s="25">
        <f>""</f>
      </c>
      <c r="D95" s="24"/>
    </row>
  </sheetData>
  <sheetProtection/>
  <mergeCells count="38">
    <mergeCell ref="I53:J53"/>
    <mergeCell ref="I55:J55"/>
    <mergeCell ref="C65:F65"/>
    <mergeCell ref="G65:H65"/>
    <mergeCell ref="I45:J45"/>
    <mergeCell ref="B1:M1"/>
    <mergeCell ref="B63:M63"/>
    <mergeCell ref="I41:J43"/>
    <mergeCell ref="D41:D43"/>
    <mergeCell ref="E41:E43"/>
    <mergeCell ref="F42:F43"/>
    <mergeCell ref="I48:J48"/>
    <mergeCell ref="F41:H41"/>
    <mergeCell ref="G42:H42"/>
    <mergeCell ref="F3:H3"/>
    <mergeCell ref="B39:M39"/>
    <mergeCell ref="C44:J44"/>
    <mergeCell ref="C3:E3"/>
    <mergeCell ref="C64:D64"/>
    <mergeCell ref="E64:F64"/>
    <mergeCell ref="I50:J50"/>
    <mergeCell ref="I51:J51"/>
    <mergeCell ref="I46:J46"/>
    <mergeCell ref="I47:J47"/>
    <mergeCell ref="I56:J56"/>
    <mergeCell ref="I54:J54"/>
    <mergeCell ref="I49:J49"/>
    <mergeCell ref="I52:J52"/>
    <mergeCell ref="C82:D82"/>
    <mergeCell ref="E82:F82"/>
    <mergeCell ref="C83:F83"/>
    <mergeCell ref="G83:H83"/>
    <mergeCell ref="L41:L43"/>
    <mergeCell ref="B2:B3"/>
    <mergeCell ref="C41:C43"/>
    <mergeCell ref="B41:B44"/>
    <mergeCell ref="K41:K43"/>
    <mergeCell ref="K44:L44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4" manualBreakCount="4">
    <brk id="30" min="1" max="11" man="1"/>
    <brk id="38" max="255" man="1"/>
    <brk id="62" max="255" man="1"/>
    <brk id="81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2017-03-30T11:49:59Z</cp:lastPrinted>
  <dcterms:created xsi:type="dcterms:W3CDTF">2001-05-17T08:58:03Z</dcterms:created>
  <dcterms:modified xsi:type="dcterms:W3CDTF">2022-04-05T07:11:19Z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2022-04-05T09:11:15.9498665+02:00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GRN-cd9033ee-769b-4781-96ff-3ace867b93be</vt:lpwstr>
  </property>
  <property fmtid="{D5CDD505-2E9C-101B-9397-08002B2CF9AE}" pid="7" name="MFHash">
    <vt:lpwstr>jVT7KY/bey8yKhZYV+U7ACiN6KzqaTd3DH4zFwY6xEQ=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