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doch_wyd" sheetId="1" r:id="rId1"/>
  </sheets>
  <definedNames>
    <definedName name="_xlnm.Print_Area" localSheetId="0">'doch_wyd'!$A$1:$M$110</definedName>
  </definedNames>
  <calcPr fullCalcOnLoad="1"/>
</workbook>
</file>

<file path=xl/comments1.xml><?xml version="1.0" encoding="utf-8"?>
<comments xmlns="http://schemas.openxmlformats.org/spreadsheetml/2006/main">
  <authors>
    <author>Michał Chmielewski</author>
  </authors>
  <commentList>
    <comment ref="J59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0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1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3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4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5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6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</commentList>
</comments>
</file>

<file path=xl/sharedStrings.xml><?xml version="1.0" encoding="utf-8"?>
<sst xmlns="http://schemas.openxmlformats.org/spreadsheetml/2006/main" count="257" uniqueCount="108">
  <si>
    <t xml:space="preserve">Wyszczególnienie </t>
  </si>
  <si>
    <t xml:space="preserve">Wykonanie </t>
  </si>
  <si>
    <t xml:space="preserve">Struktura </t>
  </si>
  <si>
    <t>Struktura dochodów  własnych</t>
  </si>
  <si>
    <t>w %%</t>
  </si>
  <si>
    <t>DOCHODY OGÓŁEM</t>
  </si>
  <si>
    <t>w tym:   inwestycyjne</t>
  </si>
  <si>
    <t xml:space="preserve">na zadania własne </t>
  </si>
  <si>
    <t>otrzymane z funduszy celowych</t>
  </si>
  <si>
    <t>na zadania z zakresu adm. rządowej</t>
  </si>
  <si>
    <t xml:space="preserve">na zadania realizowane na podstawie porozumień  z org. adm. rządowej </t>
  </si>
  <si>
    <t>na zadania realizowane na podstawie porozumień między jst</t>
  </si>
  <si>
    <t>Zobowiązania wg stanu na koniec 
okresu sprawozdawczego</t>
  </si>
  <si>
    <t>w tym:   wydatki na inwestycje</t>
  </si>
  <si>
    <t xml:space="preserve">wydatki majątkowe      </t>
  </si>
  <si>
    <t xml:space="preserve">WYNIK  </t>
  </si>
  <si>
    <t>Wyszczególnienie</t>
  </si>
  <si>
    <t>Plan (po zmianach)</t>
  </si>
  <si>
    <t>Wskaźnik 
(3:2)</t>
  </si>
  <si>
    <t xml:space="preserve">podatek dochodowy od osób fizycznych </t>
  </si>
  <si>
    <t xml:space="preserve">podatek rolny  </t>
  </si>
  <si>
    <t xml:space="preserve">podatek od nieruchomości </t>
  </si>
  <si>
    <t xml:space="preserve">podatek leśny        </t>
  </si>
  <si>
    <t>podatek od środków transportowych</t>
  </si>
  <si>
    <t>dochody z majątku</t>
  </si>
  <si>
    <t xml:space="preserve">pozostałe dochody </t>
  </si>
  <si>
    <t>Struktura</t>
  </si>
  <si>
    <t>Wskaźnik</t>
  </si>
  <si>
    <t xml:space="preserve">podatek od spadków i darowizn       </t>
  </si>
  <si>
    <t>podatek od czynności cywilnoprawnych</t>
  </si>
  <si>
    <t xml:space="preserve">wpływy z opłaty skarbowej        </t>
  </si>
  <si>
    <t>wpływy z opłaty eksploatacyjnej</t>
  </si>
  <si>
    <t>wpływy z opłaty targowej</t>
  </si>
  <si>
    <t>inne cele</t>
  </si>
  <si>
    <t>w tym wymagalne:</t>
  </si>
  <si>
    <t xml:space="preserve">podatek dochodowy od osób prawnych </t>
  </si>
  <si>
    <t>Wskaźnik 
(4:2)</t>
  </si>
  <si>
    <r>
      <t xml:space="preserve">Plan 
(po zmianach)
</t>
    </r>
    <r>
      <rPr>
        <b/>
        <sz val="10"/>
        <color indexed="8"/>
        <rFont val="Arial"/>
        <family val="2"/>
      </rPr>
      <t>R1</t>
    </r>
  </si>
  <si>
    <r>
      <t xml:space="preserve">Dochody 
wykonane
(wpływy minus zwroty) 
</t>
    </r>
    <r>
      <rPr>
        <b/>
        <sz val="10"/>
        <color indexed="8"/>
        <rFont val="Arial"/>
        <family val="2"/>
      </rPr>
      <t>R4</t>
    </r>
  </si>
  <si>
    <r>
      <t xml:space="preserve">Dochody 
otrzymane
</t>
    </r>
    <r>
      <rPr>
        <b/>
        <sz val="10"/>
        <color indexed="8"/>
        <rFont val="Arial"/>
        <family val="2"/>
      </rPr>
      <t>R9</t>
    </r>
  </si>
  <si>
    <r>
      <t xml:space="preserve">Obniżenie górnych stawek podatkowych
</t>
    </r>
    <r>
      <rPr>
        <b/>
        <sz val="10"/>
        <color indexed="8"/>
        <rFont val="Arial"/>
        <family val="2"/>
      </rPr>
      <t>R7</t>
    </r>
  </si>
  <si>
    <r>
      <t xml:space="preserve">Ulgi i zwolnienia
</t>
    </r>
    <r>
      <rPr>
        <b/>
        <sz val="10"/>
        <color indexed="8"/>
        <rFont val="Arial"/>
        <family val="2"/>
      </rPr>
      <t>R8</t>
    </r>
  </si>
  <si>
    <r>
      <t xml:space="preserve">Umorzenie zaległości podatkowych
</t>
    </r>
    <r>
      <rPr>
        <b/>
        <sz val="10"/>
        <color indexed="8"/>
        <rFont val="Arial"/>
        <family val="2"/>
      </rPr>
      <t>R11Z</t>
    </r>
  </si>
  <si>
    <r>
      <t xml:space="preserve">Rozłożenie na raty, odroczenie terminu płatności
</t>
    </r>
    <r>
      <rPr>
        <b/>
        <sz val="10"/>
        <color indexed="8"/>
        <rFont val="Arial"/>
        <family val="2"/>
      </rPr>
      <t>R11R</t>
    </r>
  </si>
  <si>
    <r>
      <t xml:space="preserve">Potrącenia 
</t>
    </r>
    <r>
      <rPr>
        <b/>
        <sz val="10"/>
        <color indexed="8"/>
        <rFont val="Arial"/>
        <family val="2"/>
      </rPr>
      <t>R3</t>
    </r>
  </si>
  <si>
    <t>uzupełnienie subwencji ogólnej</t>
  </si>
  <si>
    <t xml:space="preserve">podatek od dział. gosp. osób fizycznych, opłacany w formie karty podatkowej </t>
  </si>
  <si>
    <t>część równoważąca</t>
  </si>
  <si>
    <t>część rekompensująca</t>
  </si>
  <si>
    <t>część oświatowa</t>
  </si>
  <si>
    <t>część wyrównawcza</t>
  </si>
  <si>
    <t>pozostałe wydatki</t>
  </si>
  <si>
    <t>wydatki na obsługę długu</t>
  </si>
  <si>
    <t>dotacje</t>
  </si>
  <si>
    <r>
      <t xml:space="preserve">powstałe w latach ubiegłych
</t>
    </r>
    <r>
      <rPr>
        <b/>
        <sz val="10"/>
        <rFont val="Arial"/>
        <family val="2"/>
      </rPr>
      <t>R12U</t>
    </r>
  </si>
  <si>
    <r>
      <t xml:space="preserve">powstałe w roku bieżącym
</t>
    </r>
    <r>
      <rPr>
        <b/>
        <sz val="10"/>
        <rFont val="Arial"/>
        <family val="2"/>
      </rPr>
      <t>R12B</t>
    </r>
  </si>
  <si>
    <r>
      <t xml:space="preserve">Plan 
(po zmianach)
</t>
    </r>
    <r>
      <rPr>
        <b/>
        <sz val="10"/>
        <rFont val="Arial"/>
        <family val="2"/>
      </rPr>
      <t>R1</t>
    </r>
  </si>
  <si>
    <r>
      <t xml:space="preserve">Zaangażowanie
</t>
    </r>
    <r>
      <rPr>
        <b/>
        <sz val="10"/>
        <rFont val="Arial"/>
        <family val="2"/>
      </rPr>
      <t>R10</t>
    </r>
  </si>
  <si>
    <r>
      <t xml:space="preserve">Wydatki
 wykonane
</t>
    </r>
    <r>
      <rPr>
        <b/>
        <sz val="10"/>
        <rFont val="Arial"/>
        <family val="2"/>
      </rPr>
      <t>R4</t>
    </r>
  </si>
  <si>
    <r>
      <t xml:space="preserve">ogółem
</t>
    </r>
    <r>
      <rPr>
        <b/>
        <sz val="10"/>
        <rFont val="Arial"/>
        <family val="2"/>
      </rPr>
      <t>R11</t>
    </r>
  </si>
  <si>
    <t>#</t>
  </si>
  <si>
    <t>Razem dochody własne 
z tego:</t>
  </si>
  <si>
    <t>Dotacje celowe 
z tego:</t>
  </si>
  <si>
    <t>Subwencja ogólna 
z tego:</t>
  </si>
  <si>
    <t>WYDATKI OGÓŁEM 
z tego:</t>
  </si>
  <si>
    <t>wydatki bieżące 
z tego:</t>
  </si>
  <si>
    <t>Przychody ogółem 
z tego:</t>
  </si>
  <si>
    <t>Rozchody ogółem 
z tego:</t>
  </si>
  <si>
    <t>kwartał</t>
  </si>
  <si>
    <t>rok</t>
  </si>
  <si>
    <t>stanNa</t>
  </si>
  <si>
    <t>wydatki z tytułu udzielania poręczeń i gwarancji</t>
  </si>
  <si>
    <t>Dotacje ogółem                     z tego:</t>
  </si>
  <si>
    <t>świadczenia na rzecz osób fizycznych</t>
  </si>
  <si>
    <t>tytul</t>
  </si>
  <si>
    <t>majątkowe</t>
  </si>
  <si>
    <t>bieżące</t>
  </si>
  <si>
    <t>Dochody bieżące minus                  wydatki bieżące</t>
  </si>
  <si>
    <t>UE</t>
  </si>
  <si>
    <t>Wydatki ogółem UE        z tego:</t>
  </si>
  <si>
    <t>wydatki majątkowe</t>
  </si>
  <si>
    <t>wydatki bieżące</t>
  </si>
  <si>
    <t>w złotych</t>
  </si>
  <si>
    <t>z tytułu pomocy finansowej udzielanej między jst na dofinansowanie własnych zadań</t>
  </si>
  <si>
    <t>wolne środki, o których mowa w art. 217 ust. 2 pkt 6 ustawy o finansach publicznych  w tym:</t>
  </si>
  <si>
    <t>inne źródła</t>
  </si>
  <si>
    <t>FINANSOWANIE DEFICYTU (E1+E2+E3+E4+E5)  z tego:</t>
  </si>
  <si>
    <t>sprzedaż papierów wartościowych wyemitowanych przez jednostkę samorządu terytorialnego</t>
  </si>
  <si>
    <t>kredyty i pożyczki</t>
  </si>
  <si>
    <t>prywatyzacja majątku jednostki samorządu terytorialnego</t>
  </si>
  <si>
    <t>nadwyżka budżetu jednostki samorządu terytorialnego z lat ubiegłych</t>
  </si>
  <si>
    <t>wolne środki jako nadwyżka środków pieniężnych na rachunku  bieżącym budżetu jednostki samorządu terytorialnego, wynikających  z rozliczeń wyemitowanych papierów wartościowych, kredytów i  pożyczek z lat ubiegłych</t>
  </si>
  <si>
    <r>
      <t xml:space="preserve">Wydatki, które nie wygasły 
z upływem roku budżetowego) 
(art.263 ust. 2 ustawy 
o finansach publicznych) 
</t>
    </r>
    <r>
      <rPr>
        <b/>
        <sz val="10"/>
        <rFont val="Arial"/>
        <family val="2"/>
      </rPr>
      <t>R9</t>
    </r>
  </si>
  <si>
    <t>kredyty, pożyczki, emisja papierów wartościowych w tym:</t>
  </si>
  <si>
    <t>ze sprzedaży papierów wartościowych</t>
  </si>
  <si>
    <t>spłata  udzielonych pożyczek</t>
  </si>
  <si>
    <t>nadwyżka z lat ubiegłych</t>
  </si>
  <si>
    <t>prywatyzacja majątku JST</t>
  </si>
  <si>
    <t>spłaty kredytów i pożyczek, wykup papierów wartościowych w tym:</t>
  </si>
  <si>
    <t>wykup papierów wartościowych</t>
  </si>
  <si>
    <t>udzielone pożyczki</t>
  </si>
  <si>
    <t>Dotacje §§ 200 i 620</t>
  </si>
  <si>
    <t>w tym: inwestycyjne § 620</t>
  </si>
  <si>
    <t>Dotacje §§ 205 i 625</t>
  </si>
  <si>
    <t>w tym: inwestycyjne § 625</t>
  </si>
  <si>
    <t>wydatki na wynagrodzenia i pochodne od wynagrodzeń</t>
  </si>
  <si>
    <t>niewykorzystane środki pieniężne o których mowa w art..217 ust.2 pkt.8 ustawy o finansach publicznych</t>
  </si>
  <si>
    <t>otrzymane ze środków z Funduszu Przeciwdziałania COVID-19 (m.in. z Rządowego Funduszu Inwestycji Lokalnych)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</si>
</sst>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[$-415]d\ mmmm\ yyyy"/>
    <numFmt numFmtId="169" formatCode="dd/mm/yy\ h:mm;@"/>
    <numFmt numFmtId="170" formatCode="yyyy/mm/dd;@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5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8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3" fillId="0" borderId="0">
      <alignment/>
      <protection/>
    </xf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Fill="1" applyAlignment="1">
      <alignment horizontal="left" vertical="center"/>
    </xf>
    <xf numFmtId="164" fontId="3" fillId="0" borderId="0" xfId="0" applyNumberFormat="1" applyFont="1" applyFill="1" applyAlignment="1">
      <alignment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left" vertical="center" wrapText="1" indent="1"/>
    </xf>
    <xf numFmtId="4" fontId="5" fillId="0" borderId="10" xfId="0" applyNumberFormat="1" applyFont="1" applyBorder="1" applyAlignment="1">
      <alignment horizontal="right" vertical="center"/>
    </xf>
    <xf numFmtId="4" fontId="5" fillId="34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/>
    </xf>
    <xf numFmtId="4" fontId="13" fillId="34" borderId="10" xfId="0" applyNumberFormat="1" applyFont="1" applyFill="1" applyBorder="1" applyAlignment="1">
      <alignment horizontal="right" vertical="center"/>
    </xf>
    <xf numFmtId="4" fontId="13" fillId="34" borderId="10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164" fontId="7" fillId="0" borderId="0" xfId="0" applyNumberFormat="1" applyFont="1" applyFill="1" applyAlignment="1">
      <alignment horizontal="right" vertical="center"/>
    </xf>
    <xf numFmtId="0" fontId="7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left" vertical="center" wrapText="1" indent="2"/>
    </xf>
    <xf numFmtId="0" fontId="5" fillId="0" borderId="10" xfId="0" applyFont="1" applyFill="1" applyBorder="1" applyAlignment="1">
      <alignment horizontal="left" vertical="center" wrapText="1" indent="1"/>
    </xf>
    <xf numFmtId="0" fontId="3" fillId="0" borderId="10" xfId="0" applyFont="1" applyBorder="1" applyAlignment="1">
      <alignment/>
    </xf>
    <xf numFmtId="169" fontId="3" fillId="0" borderId="10" xfId="0" applyNumberFormat="1" applyFont="1" applyBorder="1" applyAlignment="1">
      <alignment/>
    </xf>
    <xf numFmtId="164" fontId="13" fillId="34" borderId="10" xfId="0" applyNumberFormat="1" applyFont="1" applyFill="1" applyBorder="1" applyAlignment="1">
      <alignment horizontal="right" vertical="center"/>
    </xf>
    <xf numFmtId="164" fontId="5" fillId="0" borderId="10" xfId="0" applyNumberFormat="1" applyFont="1" applyFill="1" applyBorder="1" applyAlignment="1">
      <alignment horizontal="right" vertical="center"/>
    </xf>
    <xf numFmtId="164" fontId="12" fillId="34" borderId="10" xfId="0" applyNumberFormat="1" applyFont="1" applyFill="1" applyBorder="1" applyAlignment="1">
      <alignment horizontal="right" vertical="center"/>
    </xf>
    <xf numFmtId="164" fontId="7" fillId="0" borderId="10" xfId="0" applyNumberFormat="1" applyFont="1" applyBorder="1" applyAlignment="1">
      <alignment horizontal="right" vertical="center"/>
    </xf>
    <xf numFmtId="164" fontId="12" fillId="34" borderId="10" xfId="42" applyNumberFormat="1" applyFont="1" applyFill="1" applyBorder="1" applyAlignment="1">
      <alignment horizontal="right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right" vertic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4" fontId="12" fillId="34" borderId="11" xfId="0" applyNumberFormat="1" applyFont="1" applyFill="1" applyBorder="1" applyAlignment="1">
      <alignment horizontal="right" vertical="center"/>
    </xf>
    <xf numFmtId="4" fontId="12" fillId="34" borderId="12" xfId="0" applyNumberFormat="1" applyFont="1" applyFill="1" applyBorder="1" applyAlignment="1">
      <alignment horizontal="right" vertical="center"/>
    </xf>
    <xf numFmtId="4" fontId="7" fillId="0" borderId="11" xfId="0" applyNumberFormat="1" applyFont="1" applyBorder="1" applyAlignment="1">
      <alignment horizontal="right" vertical="center"/>
    </xf>
    <xf numFmtId="4" fontId="7" fillId="0" borderId="12" xfId="0" applyNumberFormat="1" applyFont="1" applyBorder="1" applyAlignment="1">
      <alignment horizontal="right" vertical="center"/>
    </xf>
    <xf numFmtId="4" fontId="7" fillId="34" borderId="12" xfId="0" applyNumberFormat="1" applyFont="1" applyFill="1" applyBorder="1" applyAlignment="1">
      <alignment horizontal="right" vertical="center"/>
    </xf>
    <xf numFmtId="4" fontId="13" fillId="35" borderId="10" xfId="0" applyNumberFormat="1" applyFont="1" applyFill="1" applyBorder="1" applyAlignment="1">
      <alignment horizontal="right" vertical="center"/>
    </xf>
    <xf numFmtId="164" fontId="13" fillId="35" borderId="10" xfId="0" applyNumberFormat="1" applyFont="1" applyFill="1" applyBorder="1" applyAlignment="1">
      <alignment horizontal="right" vertical="center"/>
    </xf>
    <xf numFmtId="4" fontId="7" fillId="34" borderId="11" xfId="0" applyNumberFormat="1" applyFont="1" applyFill="1" applyBorder="1" applyAlignment="1">
      <alignment horizontal="right" vertical="center"/>
    </xf>
    <xf numFmtId="4" fontId="7" fillId="36" borderId="12" xfId="0" applyNumberFormat="1" applyFont="1" applyFill="1" applyBorder="1" applyAlignment="1">
      <alignment horizontal="right" vertical="center"/>
    </xf>
    <xf numFmtId="4" fontId="7" fillId="36" borderId="11" xfId="0" applyNumberFormat="1" applyFont="1" applyFill="1" applyBorder="1" applyAlignment="1">
      <alignment horizontal="right" vertical="center"/>
    </xf>
    <xf numFmtId="4" fontId="12" fillId="35" borderId="11" xfId="0" applyNumberFormat="1" applyFont="1" applyFill="1" applyBorder="1" applyAlignment="1">
      <alignment horizontal="right" vertical="center"/>
    </xf>
    <xf numFmtId="4" fontId="12" fillId="35" borderId="12" xfId="0" applyNumberFormat="1" applyFont="1" applyFill="1" applyBorder="1" applyAlignment="1">
      <alignment horizontal="right" vertical="center"/>
    </xf>
    <xf numFmtId="164" fontId="12" fillId="36" borderId="10" xfId="42" applyNumberFormat="1" applyFont="1" applyFill="1" applyBorder="1" applyAlignment="1">
      <alignment horizontal="right" vertical="center"/>
    </xf>
    <xf numFmtId="164" fontId="12" fillId="36" borderId="10" xfId="0" applyNumberFormat="1" applyFont="1" applyFill="1" applyBorder="1" applyAlignment="1">
      <alignment horizontal="right" vertical="center"/>
    </xf>
    <xf numFmtId="164" fontId="12" fillId="35" borderId="10" xfId="0" applyNumberFormat="1" applyFont="1" applyFill="1" applyBorder="1" applyAlignment="1">
      <alignment horizontal="right" vertical="center"/>
    </xf>
    <xf numFmtId="0" fontId="50" fillId="0" borderId="10" xfId="52" applyFont="1" applyBorder="1" applyAlignment="1">
      <alignment horizontal="left" vertical="top" wrapText="1"/>
      <protection/>
    </xf>
    <xf numFmtId="0" fontId="7" fillId="0" borderId="10" xfId="0" applyFont="1" applyBorder="1" applyAlignment="1">
      <alignment horizontal="left" vertical="top" wrapText="1"/>
    </xf>
    <xf numFmtId="0" fontId="50" fillId="35" borderId="10" xfId="52" applyFont="1" applyFill="1" applyBorder="1" applyAlignment="1">
      <alignment horizontal="left" vertical="top" wrapText="1"/>
      <protection/>
    </xf>
    <xf numFmtId="4" fontId="7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 wrapText="1" indent="2"/>
    </xf>
    <xf numFmtId="164" fontId="5" fillId="35" borderId="10" xfId="0" applyNumberFormat="1" applyFont="1" applyFill="1" applyBorder="1" applyAlignment="1">
      <alignment horizontal="right" vertical="center"/>
    </xf>
    <xf numFmtId="164" fontId="6" fillId="35" borderId="10" xfId="0" applyNumberFormat="1" applyFont="1" applyFill="1" applyBorder="1" applyAlignment="1">
      <alignment horizontal="center" vertical="center"/>
    </xf>
    <xf numFmtId="4" fontId="12" fillId="35" borderId="10" xfId="0" applyNumberFormat="1" applyFont="1" applyFill="1" applyBorder="1" applyAlignment="1">
      <alignment horizontal="right" vertical="center"/>
    </xf>
    <xf numFmtId="164" fontId="12" fillId="0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 wrapText="1"/>
    </xf>
    <xf numFmtId="164" fontId="7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164" fontId="7" fillId="35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top" wrapText="1" indent="1"/>
    </xf>
    <xf numFmtId="4" fontId="7" fillId="0" borderId="11" xfId="0" applyNumberFormat="1" applyFont="1" applyFill="1" applyBorder="1" applyAlignment="1">
      <alignment horizontal="right" vertical="center"/>
    </xf>
    <xf numFmtId="4" fontId="7" fillId="0" borderId="12" xfId="0" applyNumberFormat="1" applyFont="1" applyFill="1" applyBorder="1" applyAlignment="1">
      <alignment horizontal="right" vertical="center"/>
    </xf>
    <xf numFmtId="164" fontId="12" fillId="0" borderId="10" xfId="42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top" wrapText="1"/>
    </xf>
    <xf numFmtId="0" fontId="12" fillId="34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right" vertical="center" wrapText="1" indent="1"/>
    </xf>
    <xf numFmtId="0" fontId="13" fillId="34" borderId="1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13" fillId="0" borderId="10" xfId="0" applyFont="1" applyBorder="1" applyAlignment="1">
      <alignment horizontal="right" vertical="center"/>
    </xf>
    <xf numFmtId="0" fontId="5" fillId="36" borderId="10" xfId="0" applyFont="1" applyFill="1" applyBorder="1" applyAlignment="1">
      <alignment horizontal="left" vertical="center" wrapText="1" indent="1"/>
    </xf>
    <xf numFmtId="4" fontId="5" fillId="0" borderId="10" xfId="0" applyNumberFormat="1" applyFont="1" applyBorder="1" applyAlignment="1">
      <alignment horizontal="right" vertical="center"/>
    </xf>
    <xf numFmtId="4" fontId="5" fillId="37" borderId="10" xfId="0" applyNumberFormat="1" applyFont="1" applyFill="1" applyBorder="1" applyAlignment="1">
      <alignment horizontal="right" vertical="center"/>
    </xf>
    <xf numFmtId="0" fontId="7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13" fillId="34" borderId="10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4" fontId="12" fillId="35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4" fontId="13" fillId="37" borderId="10" xfId="0" applyNumberFormat="1" applyFont="1" applyFill="1" applyBorder="1" applyAlignment="1">
      <alignment horizontal="right" vertical="center" wrapText="1"/>
    </xf>
    <xf numFmtId="4" fontId="5" fillId="0" borderId="11" xfId="0" applyNumberFormat="1" applyFont="1" applyFill="1" applyBorder="1" applyAlignment="1">
      <alignment horizontal="right" vertical="center" wrapText="1"/>
    </xf>
    <xf numFmtId="0" fontId="0" fillId="0" borderId="12" xfId="0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A110"/>
  <sheetViews>
    <sheetView tabSelected="1" workbookViewId="0" topLeftCell="B1">
      <selection activeCell="B3" sqref="B3:B4"/>
    </sheetView>
  </sheetViews>
  <sheetFormatPr defaultColWidth="9.00390625" defaultRowHeight="12.75"/>
  <cols>
    <col min="1" max="1" width="5.75390625" style="1" hidden="1" customWidth="1"/>
    <col min="2" max="2" width="22.875" style="1" customWidth="1"/>
    <col min="3" max="5" width="14.625" style="1" customWidth="1"/>
    <col min="6" max="6" width="13.875" style="1" customWidth="1"/>
    <col min="7" max="7" width="13.00390625" style="1" customWidth="1"/>
    <col min="8" max="8" width="11.875" style="1" customWidth="1"/>
    <col min="9" max="9" width="13.00390625" style="1" customWidth="1"/>
    <col min="10" max="10" width="12.75390625" style="1" customWidth="1"/>
    <col min="11" max="11" width="7.375" style="1" customWidth="1"/>
    <col min="12" max="12" width="7.25390625" style="1" customWidth="1"/>
    <col min="13" max="13" width="8.125" style="1" customWidth="1"/>
    <col min="14" max="16384" width="9.125" style="1" customWidth="1"/>
  </cols>
  <sheetData>
    <row r="1" spans="2:13" ht="15">
      <c r="B1" s="101" t="str">
        <f>CONCATENATE("Informacja z wykonania budżetów gmin za ",$D$107," ",$C$108," rok    ",$C$110,"")</f>
        <v>Informacja z wykonania budżetów gmin za IV Kwartały 2021 rok    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ht="0.75" customHeight="1"/>
    <row r="3" spans="2:13" ht="63.75" customHeight="1">
      <c r="B3" s="104" t="s">
        <v>0</v>
      </c>
      <c r="C3" s="15" t="s">
        <v>37</v>
      </c>
      <c r="D3" s="15" t="s">
        <v>38</v>
      </c>
      <c r="E3" s="15" t="s">
        <v>39</v>
      </c>
      <c r="F3" s="15" t="s">
        <v>40</v>
      </c>
      <c r="G3" s="15" t="s">
        <v>41</v>
      </c>
      <c r="H3" s="15" t="s">
        <v>42</v>
      </c>
      <c r="I3" s="15" t="s">
        <v>43</v>
      </c>
      <c r="J3" s="15" t="s">
        <v>44</v>
      </c>
      <c r="K3" s="17" t="s">
        <v>2</v>
      </c>
      <c r="L3" s="15" t="s">
        <v>18</v>
      </c>
      <c r="M3" s="15" t="s">
        <v>3</v>
      </c>
    </row>
    <row r="4" spans="2:13" ht="12.75">
      <c r="B4" s="104"/>
      <c r="C4" s="105" t="s">
        <v>82</v>
      </c>
      <c r="D4" s="105"/>
      <c r="E4" s="105"/>
      <c r="F4" s="105"/>
      <c r="G4" s="105"/>
      <c r="H4" s="105"/>
      <c r="I4" s="105"/>
      <c r="J4" s="105"/>
      <c r="K4" s="105" t="s">
        <v>4</v>
      </c>
      <c r="L4" s="105"/>
      <c r="M4" s="105"/>
    </row>
    <row r="5" spans="2:13" ht="12.75">
      <c r="B5" s="17">
        <v>1</v>
      </c>
      <c r="C5" s="19">
        <v>2</v>
      </c>
      <c r="D5" s="19">
        <v>3</v>
      </c>
      <c r="E5" s="19">
        <v>4</v>
      </c>
      <c r="F5" s="17">
        <v>5</v>
      </c>
      <c r="G5" s="19">
        <v>6</v>
      </c>
      <c r="H5" s="17">
        <v>7</v>
      </c>
      <c r="I5" s="19">
        <v>8</v>
      </c>
      <c r="J5" s="17">
        <v>9</v>
      </c>
      <c r="K5" s="19">
        <v>10</v>
      </c>
      <c r="L5" s="17">
        <v>11</v>
      </c>
      <c r="M5" s="19">
        <v>12</v>
      </c>
    </row>
    <row r="6" spans="2:13" ht="12.75">
      <c r="B6" s="83" t="s">
        <v>5</v>
      </c>
      <c r="C6" s="51">
        <f>159266998771.9</f>
        <v>159266998771.9</v>
      </c>
      <c r="D6" s="51">
        <f>163483714832.93</f>
        <v>163483714832.93</v>
      </c>
      <c r="E6" s="51">
        <f>162622004440.02</f>
        <v>162622004440.02</v>
      </c>
      <c r="F6" s="51">
        <f>3125845381.12</f>
        <v>3125845381.12</v>
      </c>
      <c r="G6" s="51">
        <f>819998073.27</f>
        <v>819998073.27</v>
      </c>
      <c r="H6" s="51">
        <f>129653812.81</f>
        <v>129653812.81</v>
      </c>
      <c r="I6" s="51">
        <f>85218809.71</f>
        <v>85218809.71</v>
      </c>
      <c r="J6" s="51">
        <f>2198072.17</f>
        <v>2198072.17</v>
      </c>
      <c r="K6" s="52">
        <f aca="true" t="shared" si="0" ref="K6:K51">IF($D$6=0,"",100*$D6/$D$6)</f>
        <v>100</v>
      </c>
      <c r="L6" s="52">
        <f aca="true" t="shared" si="1" ref="L6:L47">IF(C6=0,"",100*D6/C6)</f>
        <v>102.64757676954102</v>
      </c>
      <c r="M6" s="52"/>
    </row>
    <row r="7" spans="2:13" ht="25.5" customHeight="1">
      <c r="B7" s="83" t="s">
        <v>61</v>
      </c>
      <c r="C7" s="25">
        <f>C6-C22-C42</f>
        <v>66348561347.469986</v>
      </c>
      <c r="D7" s="25">
        <f>D6-D22-D42</f>
        <v>69231325392.56999</v>
      </c>
      <c r="E7" s="25">
        <f>E6-E22-E42</f>
        <v>68573194068.61998</v>
      </c>
      <c r="F7" s="25">
        <f>F6</f>
        <v>3125845381.12</v>
      </c>
      <c r="G7" s="25">
        <f>G6</f>
        <v>819998073.27</v>
      </c>
      <c r="H7" s="25">
        <f>H6</f>
        <v>129653812.81</v>
      </c>
      <c r="I7" s="25">
        <f>I6</f>
        <v>85218809.71</v>
      </c>
      <c r="J7" s="25">
        <f>J6</f>
        <v>2198072.17</v>
      </c>
      <c r="K7" s="35">
        <f t="shared" si="0"/>
        <v>42.34753624440209</v>
      </c>
      <c r="L7" s="35">
        <f t="shared" si="1"/>
        <v>104.34487799969446</v>
      </c>
      <c r="M7" s="35">
        <f aca="true" t="shared" si="2" ref="M7:M21">IF($D$7=0,"",100*$D7/$D$7)</f>
        <v>100</v>
      </c>
    </row>
    <row r="8" spans="2:13" ht="22.5" customHeight="1">
      <c r="B8" s="32" t="s">
        <v>35</v>
      </c>
      <c r="C8" s="24">
        <f>1331117352.84</f>
        <v>1331117352.84</v>
      </c>
      <c r="D8" s="24">
        <f>1603817988</f>
        <v>1603817988</v>
      </c>
      <c r="E8" s="24">
        <f>1607325691.61</f>
        <v>1607325691.61</v>
      </c>
      <c r="F8" s="24">
        <f>0</f>
        <v>0</v>
      </c>
      <c r="G8" s="24">
        <f>0</f>
        <v>0</v>
      </c>
      <c r="H8" s="24">
        <f>0</f>
        <v>0</v>
      </c>
      <c r="I8" s="24">
        <f>0</f>
        <v>0</v>
      </c>
      <c r="J8" s="24">
        <f>0</f>
        <v>0</v>
      </c>
      <c r="K8" s="36">
        <f t="shared" si="0"/>
        <v>0.9810261466342385</v>
      </c>
      <c r="L8" s="36">
        <f t="shared" si="1"/>
        <v>120.48659605993272</v>
      </c>
      <c r="M8" s="36">
        <f t="shared" si="2"/>
        <v>2.3166073723212643</v>
      </c>
    </row>
    <row r="9" spans="2:13" ht="22.5" customHeight="1">
      <c r="B9" s="32" t="s">
        <v>19</v>
      </c>
      <c r="C9" s="24">
        <f>24012093970.17</f>
        <v>24012093970.17</v>
      </c>
      <c r="D9" s="24">
        <f>25885024490</f>
        <v>25885024490</v>
      </c>
      <c r="E9" s="24">
        <f>25309352461.67</f>
        <v>25309352461.67</v>
      </c>
      <c r="F9" s="24">
        <f>0</f>
        <v>0</v>
      </c>
      <c r="G9" s="24">
        <f>0</f>
        <v>0</v>
      </c>
      <c r="H9" s="24">
        <f>0</f>
        <v>0</v>
      </c>
      <c r="I9" s="24">
        <f>0</f>
        <v>0</v>
      </c>
      <c r="J9" s="24">
        <f>0</f>
        <v>0</v>
      </c>
      <c r="K9" s="36">
        <f t="shared" si="0"/>
        <v>15.833396321127678</v>
      </c>
      <c r="L9" s="36">
        <f t="shared" si="1"/>
        <v>107.7999466525357</v>
      </c>
      <c r="M9" s="36">
        <f t="shared" si="2"/>
        <v>37.38917945485126</v>
      </c>
    </row>
    <row r="10" spans="2:13" ht="13.5" customHeight="1">
      <c r="B10" s="32" t="s">
        <v>20</v>
      </c>
      <c r="C10" s="24">
        <f>1651696790.32</f>
        <v>1651696790.32</v>
      </c>
      <c r="D10" s="24">
        <f>1626332428.53</f>
        <v>1626332428.53</v>
      </c>
      <c r="E10" s="24">
        <f>1624421282.73</f>
        <v>1624421282.73</v>
      </c>
      <c r="F10" s="24">
        <f>142420105.31</f>
        <v>142420105.31</v>
      </c>
      <c r="G10" s="24">
        <f>1008051.11</f>
        <v>1008051.11</v>
      </c>
      <c r="H10" s="24">
        <f>4030304.86</f>
        <v>4030304.86</v>
      </c>
      <c r="I10" s="24">
        <f>754067.19</f>
        <v>754067.19</v>
      </c>
      <c r="J10" s="24">
        <f>2941.26</f>
        <v>2941.26</v>
      </c>
      <c r="K10" s="36">
        <f t="shared" si="0"/>
        <v>0.9947978183588554</v>
      </c>
      <c r="L10" s="36">
        <f t="shared" si="1"/>
        <v>98.46434515471294</v>
      </c>
      <c r="M10" s="36">
        <f t="shared" si="2"/>
        <v>2.349127969612063</v>
      </c>
    </row>
    <row r="11" spans="2:13" ht="13.5" customHeight="1">
      <c r="B11" s="32" t="s">
        <v>21</v>
      </c>
      <c r="C11" s="24">
        <f>15821263548.81</f>
        <v>15821263548.81</v>
      </c>
      <c r="D11" s="64">
        <f>16127216441.05</f>
        <v>16127216441.05</v>
      </c>
      <c r="E11" s="24">
        <f>16089486411.41</f>
        <v>16089486411.41</v>
      </c>
      <c r="F11" s="24">
        <f>2116203835.86</f>
        <v>2116203835.86</v>
      </c>
      <c r="G11" s="24">
        <f>679339308.88</f>
        <v>679339308.88</v>
      </c>
      <c r="H11" s="24">
        <f>101815935.11</f>
        <v>101815935.11</v>
      </c>
      <c r="I11" s="24">
        <f>67820930.22</f>
        <v>67820930.22</v>
      </c>
      <c r="J11" s="24">
        <f>1503392.94</f>
        <v>1503392.94</v>
      </c>
      <c r="K11" s="36">
        <f t="shared" si="0"/>
        <v>9.864723503213146</v>
      </c>
      <c r="L11" s="36">
        <f t="shared" si="1"/>
        <v>101.93380820246189</v>
      </c>
      <c r="M11" s="36">
        <f t="shared" si="2"/>
        <v>23.294681056013406</v>
      </c>
    </row>
    <row r="12" spans="2:13" ht="13.5" customHeight="1">
      <c r="B12" s="32" t="s">
        <v>22</v>
      </c>
      <c r="C12" s="24">
        <f>302455080.57</f>
        <v>302455080.57</v>
      </c>
      <c r="D12" s="64">
        <f>301843496.86</f>
        <v>301843496.86</v>
      </c>
      <c r="E12" s="24">
        <f>301508261.32</f>
        <v>301508261.32</v>
      </c>
      <c r="F12" s="24">
        <f>929661.6</f>
        <v>929661.6</v>
      </c>
      <c r="G12" s="24">
        <f>583967.62</f>
        <v>583967.62</v>
      </c>
      <c r="H12" s="24">
        <f>188882.42</f>
        <v>188882.42</v>
      </c>
      <c r="I12" s="24">
        <f>5477.85</f>
        <v>5477.85</v>
      </c>
      <c r="J12" s="24">
        <f>274.24</f>
        <v>274.24</v>
      </c>
      <c r="K12" s="36">
        <f t="shared" si="0"/>
        <v>0.1846321495498588</v>
      </c>
      <c r="L12" s="36">
        <f t="shared" si="1"/>
        <v>99.7977935404995</v>
      </c>
      <c r="M12" s="36">
        <f t="shared" si="2"/>
        <v>0.4359926596066501</v>
      </c>
    </row>
    <row r="13" spans="2:13" ht="22.5" customHeight="1">
      <c r="B13" s="32" t="s">
        <v>23</v>
      </c>
      <c r="C13" s="24">
        <f>881104610.45</f>
        <v>881104610.45</v>
      </c>
      <c r="D13" s="64">
        <f>894745884.27</f>
        <v>894745884.27</v>
      </c>
      <c r="E13" s="24">
        <f>893438213.84</f>
        <v>893438213.84</v>
      </c>
      <c r="F13" s="24">
        <f>861525959.75</f>
        <v>861525959.75</v>
      </c>
      <c r="G13" s="24">
        <f>4697308.43</f>
        <v>4697308.43</v>
      </c>
      <c r="H13" s="24">
        <f>6190210.34</f>
        <v>6190210.34</v>
      </c>
      <c r="I13" s="24">
        <f>2800037.15</f>
        <v>2800037.15</v>
      </c>
      <c r="J13" s="24">
        <f>32951.5</f>
        <v>32951.5</v>
      </c>
      <c r="K13" s="36">
        <f t="shared" si="0"/>
        <v>0.5472997021045024</v>
      </c>
      <c r="L13" s="36">
        <f t="shared" si="1"/>
        <v>101.54820138928034</v>
      </c>
      <c r="M13" s="36">
        <f t="shared" si="2"/>
        <v>1.292400339292111</v>
      </c>
    </row>
    <row r="14" spans="2:13" ht="33" customHeight="1">
      <c r="B14" s="32" t="s">
        <v>46</v>
      </c>
      <c r="C14" s="24">
        <f>67807384.89</f>
        <v>67807384.89</v>
      </c>
      <c r="D14" s="64">
        <f>93170102.29</f>
        <v>93170102.29</v>
      </c>
      <c r="E14" s="24">
        <f>93293830.46</f>
        <v>93293830.46</v>
      </c>
      <c r="F14" s="24">
        <f>0</f>
        <v>0</v>
      </c>
      <c r="G14" s="24">
        <f>0</f>
        <v>0</v>
      </c>
      <c r="H14" s="24">
        <f>58378.67</f>
        <v>58378.67</v>
      </c>
      <c r="I14" s="24">
        <f>163766.09</f>
        <v>163766.09</v>
      </c>
      <c r="J14" s="24">
        <f>0</f>
        <v>0</v>
      </c>
      <c r="K14" s="36">
        <f t="shared" si="0"/>
        <v>0.056990448489143974</v>
      </c>
      <c r="L14" s="36">
        <f t="shared" si="1"/>
        <v>137.40406364460813</v>
      </c>
      <c r="M14" s="36">
        <f t="shared" si="2"/>
        <v>0.13457795551607213</v>
      </c>
    </row>
    <row r="15" spans="2:13" ht="22.5" customHeight="1">
      <c r="B15" s="32" t="s">
        <v>28</v>
      </c>
      <c r="C15" s="24">
        <f>149192484.51</f>
        <v>149192484.51</v>
      </c>
      <c r="D15" s="64">
        <f>187550960.23</f>
        <v>187550960.23</v>
      </c>
      <c r="E15" s="24">
        <f>187244187.94</f>
        <v>187244187.94</v>
      </c>
      <c r="F15" s="24">
        <f>0</f>
        <v>0</v>
      </c>
      <c r="G15" s="24">
        <f>0</f>
        <v>0</v>
      </c>
      <c r="H15" s="24">
        <f>4360537.3</f>
        <v>4360537.3</v>
      </c>
      <c r="I15" s="24">
        <f>5253036.48</f>
        <v>5253036.48</v>
      </c>
      <c r="J15" s="24">
        <f>0</f>
        <v>0</v>
      </c>
      <c r="K15" s="36">
        <f t="shared" si="0"/>
        <v>0.11472149407766101</v>
      </c>
      <c r="L15" s="36">
        <f t="shared" si="1"/>
        <v>125.71072922740215</v>
      </c>
      <c r="M15" s="36">
        <f t="shared" si="2"/>
        <v>0.27090476625502863</v>
      </c>
    </row>
    <row r="16" spans="2:13" ht="22.5" customHeight="1">
      <c r="B16" s="32" t="s">
        <v>29</v>
      </c>
      <c r="C16" s="24">
        <f>1609013450.89</f>
        <v>1609013450.89</v>
      </c>
      <c r="D16" s="64">
        <f>2022683577.3</f>
        <v>2022683577.3</v>
      </c>
      <c r="E16" s="24">
        <f>2027671551.98</f>
        <v>2027671551.98</v>
      </c>
      <c r="F16" s="24">
        <f>0</f>
        <v>0</v>
      </c>
      <c r="G16" s="24">
        <f>0</f>
        <v>0</v>
      </c>
      <c r="H16" s="24">
        <f>204057.99</f>
        <v>204057.99</v>
      </c>
      <c r="I16" s="24">
        <f>603722.91</f>
        <v>603722.91</v>
      </c>
      <c r="J16" s="24">
        <f>0</f>
        <v>0</v>
      </c>
      <c r="K16" s="36">
        <f t="shared" si="0"/>
        <v>1.2372385710509788</v>
      </c>
      <c r="L16" s="36">
        <f t="shared" si="1"/>
        <v>125.70955054360701</v>
      </c>
      <c r="M16" s="36">
        <f t="shared" si="2"/>
        <v>2.921630585331936</v>
      </c>
    </row>
    <row r="17" spans="2:13" ht="13.5" customHeight="1">
      <c r="B17" s="32" t="s">
        <v>30</v>
      </c>
      <c r="C17" s="24">
        <f>189560977.15</f>
        <v>189560977.15</v>
      </c>
      <c r="D17" s="64">
        <f>209854329.03</f>
        <v>209854329.03</v>
      </c>
      <c r="E17" s="24">
        <f>209572108.66</f>
        <v>209572108.66</v>
      </c>
      <c r="F17" s="24">
        <f>0</f>
        <v>0</v>
      </c>
      <c r="G17" s="24">
        <f>6150.71</f>
        <v>6150.71</v>
      </c>
      <c r="H17" s="24">
        <f>438</f>
        <v>438</v>
      </c>
      <c r="I17" s="24">
        <f>2461.08</f>
        <v>2461.08</v>
      </c>
      <c r="J17" s="24">
        <f>0</f>
        <v>0</v>
      </c>
      <c r="K17" s="36">
        <f t="shared" si="0"/>
        <v>0.12836405708327453</v>
      </c>
      <c r="L17" s="36">
        <f t="shared" si="1"/>
        <v>110.70544802263908</v>
      </c>
      <c r="M17" s="36">
        <f t="shared" si="2"/>
        <v>0.3031204846072785</v>
      </c>
    </row>
    <row r="18" spans="2:13" ht="22.5" customHeight="1">
      <c r="B18" s="32" t="s">
        <v>31</v>
      </c>
      <c r="C18" s="24">
        <f>392629698.05</f>
        <v>392629698.05</v>
      </c>
      <c r="D18" s="64">
        <f>378320275.88</f>
        <v>378320275.88</v>
      </c>
      <c r="E18" s="24">
        <f>378408985.18</f>
        <v>378408985.18</v>
      </c>
      <c r="F18" s="24">
        <f>0</f>
        <v>0</v>
      </c>
      <c r="G18" s="24">
        <f>0</f>
        <v>0</v>
      </c>
      <c r="H18" s="24">
        <f>12465.89</f>
        <v>12465.89</v>
      </c>
      <c r="I18" s="24">
        <f>43142.6</f>
        <v>43142.6</v>
      </c>
      <c r="J18" s="24">
        <f>0</f>
        <v>0</v>
      </c>
      <c r="K18" s="36">
        <f t="shared" si="0"/>
        <v>0.23141159733654168</v>
      </c>
      <c r="L18" s="36">
        <f t="shared" si="1"/>
        <v>96.35549163981534</v>
      </c>
      <c r="M18" s="36">
        <f t="shared" si="2"/>
        <v>0.546458230771647</v>
      </c>
    </row>
    <row r="19" spans="2:13" ht="13.5" customHeight="1">
      <c r="B19" s="32" t="s">
        <v>32</v>
      </c>
      <c r="C19" s="24">
        <f>2348472.48</f>
        <v>2348472.48</v>
      </c>
      <c r="D19" s="64">
        <f>1498051.19</f>
        <v>1498051.19</v>
      </c>
      <c r="E19" s="24">
        <f>1513525.19</f>
        <v>1513525.19</v>
      </c>
      <c r="F19" s="24">
        <f>88537.89</f>
        <v>88537.89</v>
      </c>
      <c r="G19" s="24">
        <f>0</f>
        <v>0</v>
      </c>
      <c r="H19" s="24">
        <f>3300</f>
        <v>3300</v>
      </c>
      <c r="I19" s="24">
        <f>121134.85</f>
        <v>121134.85</v>
      </c>
      <c r="J19" s="24">
        <f>0</f>
        <v>0</v>
      </c>
      <c r="K19" s="36">
        <f t="shared" si="0"/>
        <v>0.0009163305296377156</v>
      </c>
      <c r="L19" s="36">
        <f t="shared" si="1"/>
        <v>63.78832210118127</v>
      </c>
      <c r="M19" s="36">
        <f t="shared" si="2"/>
        <v>0.0021638343358377668</v>
      </c>
    </row>
    <row r="20" spans="2:13" ht="13.5" customHeight="1">
      <c r="B20" s="32" t="s">
        <v>24</v>
      </c>
      <c r="C20" s="24">
        <f>4230747580.2</f>
        <v>4230747580.2</v>
      </c>
      <c r="D20" s="64">
        <f>4294968424.01</f>
        <v>4294968424.01</v>
      </c>
      <c r="E20" s="24">
        <f>4270941167.42</f>
        <v>4270941167.42</v>
      </c>
      <c r="F20" s="24">
        <f>0</f>
        <v>0</v>
      </c>
      <c r="G20" s="24">
        <f>186284.38</f>
        <v>186284.38</v>
      </c>
      <c r="H20" s="24">
        <f>0</f>
        <v>0</v>
      </c>
      <c r="I20" s="24">
        <f>146085.82</f>
        <v>146085.82</v>
      </c>
      <c r="J20" s="24">
        <f>0</f>
        <v>0</v>
      </c>
      <c r="K20" s="36">
        <f t="shared" si="0"/>
        <v>2.6271536760705407</v>
      </c>
      <c r="L20" s="36">
        <f t="shared" si="1"/>
        <v>101.51795498532115</v>
      </c>
      <c r="M20" s="36">
        <f t="shared" si="2"/>
        <v>6.203793441272095</v>
      </c>
    </row>
    <row r="21" spans="2:13" ht="13.5" customHeight="1">
      <c r="B21" s="32" t="s">
        <v>25</v>
      </c>
      <c r="C21" s="24">
        <f>C7-C8-C9-C10-C11-C12-C13-C14-C15-C16-C17-C18-C19-C20</f>
        <v>15707529946.139996</v>
      </c>
      <c r="D21" s="24">
        <f aca="true" t="shared" si="3" ref="D21:J21">D7-D8-D9-D10-D11-D12-D13-D14-D15-D16-D17-D18-D19-D20</f>
        <v>15604298943.929995</v>
      </c>
      <c r="E21" s="24">
        <f t="shared" si="3"/>
        <v>15579016389.209982</v>
      </c>
      <c r="F21" s="24">
        <f t="shared" si="3"/>
        <v>4677280.710000024</v>
      </c>
      <c r="G21" s="24">
        <f t="shared" si="3"/>
        <v>134177002.13999996</v>
      </c>
      <c r="H21" s="24">
        <f t="shared" si="3"/>
        <v>12789302.229999999</v>
      </c>
      <c r="I21" s="24">
        <f t="shared" si="3"/>
        <v>7504947.469999997</v>
      </c>
      <c r="J21" s="24">
        <f t="shared" si="3"/>
        <v>658512.2300000002</v>
      </c>
      <c r="K21" s="36">
        <f t="shared" si="0"/>
        <v>9.544864428776041</v>
      </c>
      <c r="L21" s="36">
        <f t="shared" si="1"/>
        <v>99.3427928989219</v>
      </c>
      <c r="M21" s="36">
        <f t="shared" si="2"/>
        <v>22.53936185021336</v>
      </c>
    </row>
    <row r="22" spans="2:13" ht="26.25" customHeight="1">
      <c r="B22" s="83" t="s">
        <v>72</v>
      </c>
      <c r="C22" s="51">
        <f>C23+C38+C40</f>
        <v>54707125587.659996</v>
      </c>
      <c r="D22" s="51">
        <f>D23+D38+D40</f>
        <v>53360405488.36</v>
      </c>
      <c r="E22" s="51">
        <f>E23+E38+E40</f>
        <v>53323457011.96001</v>
      </c>
      <c r="F22" s="43" t="s">
        <v>60</v>
      </c>
      <c r="G22" s="43" t="s">
        <v>60</v>
      </c>
      <c r="H22" s="43" t="s">
        <v>60</v>
      </c>
      <c r="I22" s="43" t="s">
        <v>60</v>
      </c>
      <c r="J22" s="43" t="s">
        <v>60</v>
      </c>
      <c r="K22" s="52">
        <f t="shared" si="0"/>
        <v>32.639584647859856</v>
      </c>
      <c r="L22" s="52">
        <f t="shared" si="1"/>
        <v>97.53830952580012</v>
      </c>
      <c r="M22" s="28"/>
    </row>
    <row r="23" spans="2:13" ht="25.5" customHeight="1">
      <c r="B23" s="83" t="s">
        <v>62</v>
      </c>
      <c r="C23" s="51">
        <f>C24+C26+C28+C30+C32+C34+C36</f>
        <v>48311934516.899994</v>
      </c>
      <c r="D23" s="51">
        <f>D24+D26+D28+D30+D32+D34+D36</f>
        <v>48890665067.69</v>
      </c>
      <c r="E23" s="51">
        <f>E24+E26+E28+E30+E32+E34+E36</f>
        <v>48855269329.200005</v>
      </c>
      <c r="F23" s="43" t="s">
        <v>60</v>
      </c>
      <c r="G23" s="43" t="s">
        <v>60</v>
      </c>
      <c r="H23" s="43" t="s">
        <v>60</v>
      </c>
      <c r="I23" s="43" t="s">
        <v>60</v>
      </c>
      <c r="J23" s="43" t="s">
        <v>60</v>
      </c>
      <c r="K23" s="52">
        <f t="shared" si="0"/>
        <v>29.90552613613727</v>
      </c>
      <c r="L23" s="52">
        <f t="shared" si="1"/>
        <v>101.19790390630614</v>
      </c>
      <c r="M23" s="28"/>
    </row>
    <row r="24" spans="2:13" ht="22.5" customHeight="1">
      <c r="B24" s="32" t="s">
        <v>9</v>
      </c>
      <c r="C24" s="24">
        <f>40654674440.84</f>
        <v>40654674440.84</v>
      </c>
      <c r="D24" s="24">
        <f>40467411835.71</f>
        <v>40467411835.71</v>
      </c>
      <c r="E24" s="24">
        <f>40473605376.48</f>
        <v>40473605376.48</v>
      </c>
      <c r="F24" s="24" t="s">
        <v>60</v>
      </c>
      <c r="G24" s="24" t="s">
        <v>60</v>
      </c>
      <c r="H24" s="24" t="s">
        <v>60</v>
      </c>
      <c r="I24" s="24" t="s">
        <v>60</v>
      </c>
      <c r="J24" s="24" t="s">
        <v>60</v>
      </c>
      <c r="K24" s="36">
        <f t="shared" si="0"/>
        <v>24.753176105072686</v>
      </c>
      <c r="L24" s="36">
        <f t="shared" si="1"/>
        <v>99.53938235220036</v>
      </c>
      <c r="M24" s="28"/>
    </row>
    <row r="25" spans="2:13" ht="13.5" customHeight="1">
      <c r="B25" s="65" t="s">
        <v>6</v>
      </c>
      <c r="C25" s="24">
        <f>17105017.91</f>
        <v>17105017.91</v>
      </c>
      <c r="D25" s="24">
        <f>14550275.7</f>
        <v>14550275.7</v>
      </c>
      <c r="E25" s="24">
        <f>14867420.89</f>
        <v>14867420.89</v>
      </c>
      <c r="F25" s="24" t="s">
        <v>60</v>
      </c>
      <c r="G25" s="24" t="s">
        <v>60</v>
      </c>
      <c r="H25" s="24" t="s">
        <v>60</v>
      </c>
      <c r="I25" s="24" t="s">
        <v>60</v>
      </c>
      <c r="J25" s="24" t="s">
        <v>60</v>
      </c>
      <c r="K25" s="36">
        <f t="shared" si="0"/>
        <v>0.008900137677241713</v>
      </c>
      <c r="L25" s="36">
        <f t="shared" si="1"/>
        <v>85.06436986244582</v>
      </c>
      <c r="M25" s="28"/>
    </row>
    <row r="26" spans="2:13" ht="13.5" customHeight="1">
      <c r="B26" s="32" t="s">
        <v>7</v>
      </c>
      <c r="C26" s="24">
        <f>3721064305.89</f>
        <v>3721064305.89</v>
      </c>
      <c r="D26" s="24">
        <f>3553063412.69</f>
        <v>3553063412.69</v>
      </c>
      <c r="E26" s="24">
        <f>3562241598.19</f>
        <v>3562241598.19</v>
      </c>
      <c r="F26" s="24" t="s">
        <v>60</v>
      </c>
      <c r="G26" s="24" t="s">
        <v>60</v>
      </c>
      <c r="H26" s="24" t="s">
        <v>60</v>
      </c>
      <c r="I26" s="24" t="s">
        <v>60</v>
      </c>
      <c r="J26" s="24" t="s">
        <v>60</v>
      </c>
      <c r="K26" s="36">
        <f t="shared" si="0"/>
        <v>2.1733439421296525</v>
      </c>
      <c r="L26" s="36">
        <f t="shared" si="1"/>
        <v>95.48513867567205</v>
      </c>
      <c r="M26" s="28"/>
    </row>
    <row r="27" spans="2:13" ht="13.5" customHeight="1">
      <c r="B27" s="65" t="s">
        <v>6</v>
      </c>
      <c r="C27" s="24">
        <f>424089633.17</f>
        <v>424089633.17</v>
      </c>
      <c r="D27" s="24">
        <f>344580547.01</f>
        <v>344580547.01</v>
      </c>
      <c r="E27" s="24">
        <f>345364677.98</f>
        <v>345364677.98</v>
      </c>
      <c r="F27" s="24" t="s">
        <v>60</v>
      </c>
      <c r="G27" s="24" t="s">
        <v>60</v>
      </c>
      <c r="H27" s="24" t="s">
        <v>60</v>
      </c>
      <c r="I27" s="24" t="s">
        <v>60</v>
      </c>
      <c r="J27" s="24" t="s">
        <v>60</v>
      </c>
      <c r="K27" s="36">
        <f t="shared" si="0"/>
        <v>0.21077362192444643</v>
      </c>
      <c r="L27" s="36">
        <f t="shared" si="1"/>
        <v>81.2518203838932</v>
      </c>
      <c r="M27" s="28"/>
    </row>
    <row r="28" spans="2:13" ht="33" customHeight="1">
      <c r="B28" s="32" t="s">
        <v>10</v>
      </c>
      <c r="C28" s="24">
        <f>49510771.8</f>
        <v>49510771.8</v>
      </c>
      <c r="D28" s="24">
        <f>45464904.25</f>
        <v>45464904.25</v>
      </c>
      <c r="E28" s="24">
        <f>45535577.81</f>
        <v>45535577.81</v>
      </c>
      <c r="F28" s="24" t="s">
        <v>60</v>
      </c>
      <c r="G28" s="24" t="s">
        <v>60</v>
      </c>
      <c r="H28" s="24" t="s">
        <v>60</v>
      </c>
      <c r="I28" s="24" t="s">
        <v>60</v>
      </c>
      <c r="J28" s="24" t="s">
        <v>60</v>
      </c>
      <c r="K28" s="36">
        <f t="shared" si="0"/>
        <v>0.027810050864370345</v>
      </c>
      <c r="L28" s="36">
        <f t="shared" si="1"/>
        <v>91.82830846114987</v>
      </c>
      <c r="M28" s="28"/>
    </row>
    <row r="29" spans="2:13" ht="13.5" customHeight="1">
      <c r="B29" s="65" t="s">
        <v>6</v>
      </c>
      <c r="C29" s="24">
        <f>9390464.41</f>
        <v>9390464.41</v>
      </c>
      <c r="D29" s="24">
        <f>8601800.95</f>
        <v>8601800.95</v>
      </c>
      <c r="E29" s="24">
        <f>8601800.95</f>
        <v>8601800.95</v>
      </c>
      <c r="F29" s="24" t="s">
        <v>60</v>
      </c>
      <c r="G29" s="24" t="s">
        <v>60</v>
      </c>
      <c r="H29" s="24" t="s">
        <v>60</v>
      </c>
      <c r="I29" s="24" t="s">
        <v>60</v>
      </c>
      <c r="J29" s="24" t="s">
        <v>60</v>
      </c>
      <c r="K29" s="36">
        <f t="shared" si="0"/>
        <v>0.005261564406455099</v>
      </c>
      <c r="L29" s="36">
        <f t="shared" si="1"/>
        <v>91.60144349026928</v>
      </c>
      <c r="M29" s="28"/>
    </row>
    <row r="30" spans="2:13" ht="33.75">
      <c r="B30" s="32" t="s">
        <v>11</v>
      </c>
      <c r="C30" s="24">
        <f>600256930.9</f>
        <v>600256930.9</v>
      </c>
      <c r="D30" s="24">
        <f>583393430.72</f>
        <v>583393430.72</v>
      </c>
      <c r="E30" s="24">
        <f>582028200.960001</f>
        <v>582028200.960001</v>
      </c>
      <c r="F30" s="24" t="s">
        <v>60</v>
      </c>
      <c r="G30" s="24" t="s">
        <v>60</v>
      </c>
      <c r="H30" s="24" t="s">
        <v>60</v>
      </c>
      <c r="I30" s="24" t="s">
        <v>60</v>
      </c>
      <c r="J30" s="24" t="s">
        <v>60</v>
      </c>
      <c r="K30" s="36">
        <f t="shared" si="0"/>
        <v>0.35685109756417704</v>
      </c>
      <c r="L30" s="36">
        <f t="shared" si="1"/>
        <v>97.19061966436347</v>
      </c>
      <c r="M30" s="28"/>
    </row>
    <row r="31" spans="2:13" ht="12.75">
      <c r="B31" s="65" t="s">
        <v>6</v>
      </c>
      <c r="C31" s="24">
        <f>248804466.6</f>
        <v>248804466.6</v>
      </c>
      <c r="D31" s="24">
        <f>225420346.25</f>
        <v>225420346.25</v>
      </c>
      <c r="E31" s="24">
        <f>223385323.72</f>
        <v>223385323.72</v>
      </c>
      <c r="F31" s="24" t="s">
        <v>60</v>
      </c>
      <c r="G31" s="24" t="s">
        <v>60</v>
      </c>
      <c r="H31" s="24" t="s">
        <v>60</v>
      </c>
      <c r="I31" s="24" t="s">
        <v>60</v>
      </c>
      <c r="J31" s="24" t="s">
        <v>60</v>
      </c>
      <c r="K31" s="36">
        <f t="shared" si="0"/>
        <v>0.13788550528128463</v>
      </c>
      <c r="L31" s="36">
        <f t="shared" si="1"/>
        <v>90.60140653037617</v>
      </c>
      <c r="M31" s="28"/>
    </row>
    <row r="32" spans="2:13" ht="45">
      <c r="B32" s="32" t="s">
        <v>83</v>
      </c>
      <c r="C32" s="24">
        <f>434358837.81</f>
        <v>434358837.81</v>
      </c>
      <c r="D32" s="24">
        <f>383868624.31</f>
        <v>383868624.31</v>
      </c>
      <c r="E32" s="24">
        <f>383778007.36</f>
        <v>383778007.36</v>
      </c>
      <c r="F32" s="24" t="s">
        <v>60</v>
      </c>
      <c r="G32" s="24" t="s">
        <v>60</v>
      </c>
      <c r="H32" s="24" t="s">
        <v>60</v>
      </c>
      <c r="I32" s="24" t="s">
        <v>60</v>
      </c>
      <c r="J32" s="24" t="s">
        <v>60</v>
      </c>
      <c r="K32" s="36">
        <f t="shared" si="0"/>
        <v>0.23480542065140214</v>
      </c>
      <c r="L32" s="36">
        <f t="shared" si="1"/>
        <v>88.37592121883203</v>
      </c>
      <c r="M32" s="28"/>
    </row>
    <row r="33" spans="2:13" ht="12.75">
      <c r="B33" s="65" t="s">
        <v>6</v>
      </c>
      <c r="C33" s="24">
        <f>362746946.75</f>
        <v>362746946.75</v>
      </c>
      <c r="D33" s="24">
        <f>313253182.12</f>
        <v>313253182.12</v>
      </c>
      <c r="E33" s="24">
        <f>313136554.94</f>
        <v>313136554.94</v>
      </c>
      <c r="F33" s="24" t="s">
        <v>60</v>
      </c>
      <c r="G33" s="24" t="s">
        <v>60</v>
      </c>
      <c r="H33" s="24" t="s">
        <v>60</v>
      </c>
      <c r="I33" s="24" t="s">
        <v>60</v>
      </c>
      <c r="J33" s="24" t="s">
        <v>60</v>
      </c>
      <c r="K33" s="36">
        <f t="shared" si="0"/>
        <v>0.19161124546265965</v>
      </c>
      <c r="L33" s="36">
        <f t="shared" si="1"/>
        <v>86.35584253060291</v>
      </c>
      <c r="M33" s="28"/>
    </row>
    <row r="34" spans="2:13" ht="22.5">
      <c r="B34" s="32" t="s">
        <v>8</v>
      </c>
      <c r="C34" s="24">
        <f>307624459.42</f>
        <v>307624459.42</v>
      </c>
      <c r="D34" s="24">
        <f>286357832.91</f>
        <v>286357832.91</v>
      </c>
      <c r="E34" s="24">
        <f>285632712.55</f>
        <v>285632712.55</v>
      </c>
      <c r="F34" s="24" t="s">
        <v>60</v>
      </c>
      <c r="G34" s="24" t="s">
        <v>60</v>
      </c>
      <c r="H34" s="24" t="s">
        <v>60</v>
      </c>
      <c r="I34" s="24" t="s">
        <v>60</v>
      </c>
      <c r="J34" s="24" t="s">
        <v>60</v>
      </c>
      <c r="K34" s="36">
        <f t="shared" si="0"/>
        <v>0.17515985197830844</v>
      </c>
      <c r="L34" s="36">
        <f t="shared" si="1"/>
        <v>93.08682198089957</v>
      </c>
      <c r="M34" s="28"/>
    </row>
    <row r="35" spans="2:13" ht="12.75">
      <c r="B35" s="31" t="s">
        <v>6</v>
      </c>
      <c r="C35" s="22">
        <f>268053326.99</f>
        <v>268053326.99</v>
      </c>
      <c r="D35" s="22">
        <f>249364148.61</f>
        <v>249364148.61</v>
      </c>
      <c r="E35" s="22">
        <f>248677037.89</f>
        <v>248677037.89</v>
      </c>
      <c r="F35" s="24" t="s">
        <v>60</v>
      </c>
      <c r="G35" s="24" t="s">
        <v>60</v>
      </c>
      <c r="H35" s="24" t="s">
        <v>60</v>
      </c>
      <c r="I35" s="24" t="s">
        <v>60</v>
      </c>
      <c r="J35" s="24" t="s">
        <v>60</v>
      </c>
      <c r="K35" s="36">
        <f t="shared" si="0"/>
        <v>0.15253149150961878</v>
      </c>
      <c r="L35" s="36">
        <f t="shared" si="1"/>
        <v>93.0278133124245</v>
      </c>
      <c r="M35" s="28"/>
    </row>
    <row r="36" spans="2:13" ht="45">
      <c r="B36" s="89" t="s">
        <v>107</v>
      </c>
      <c r="C36" s="22">
        <f>2544444770.24</f>
        <v>2544444770.24</v>
      </c>
      <c r="D36" s="22">
        <f>3571105027.1</f>
        <v>3571105027.1</v>
      </c>
      <c r="E36" s="22">
        <f>3522447855.85</f>
        <v>3522447855.85</v>
      </c>
      <c r="F36" s="24" t="s">
        <v>60</v>
      </c>
      <c r="G36" s="24" t="s">
        <v>60</v>
      </c>
      <c r="H36" s="24" t="s">
        <v>60</v>
      </c>
      <c r="I36" s="24" t="s">
        <v>60</v>
      </c>
      <c r="J36" s="24" t="s">
        <v>60</v>
      </c>
      <c r="K36" s="36">
        <f t="shared" si="0"/>
        <v>2.184379667876671</v>
      </c>
      <c r="L36" s="36">
        <f t="shared" si="1"/>
        <v>140.3490878979921</v>
      </c>
      <c r="M36" s="28"/>
    </row>
    <row r="37" spans="2:13" ht="12.75">
      <c r="B37" s="31" t="s">
        <v>6</v>
      </c>
      <c r="C37" s="22">
        <f>1936567021.45</f>
        <v>1936567021.45</v>
      </c>
      <c r="D37" s="22">
        <f>2696735104</f>
        <v>2696735104</v>
      </c>
      <c r="E37" s="22">
        <f>2646272137.75</f>
        <v>2646272137.75</v>
      </c>
      <c r="F37" s="24" t="s">
        <v>60</v>
      </c>
      <c r="G37" s="24" t="s">
        <v>60</v>
      </c>
      <c r="H37" s="24" t="s">
        <v>60</v>
      </c>
      <c r="I37" s="24" t="s">
        <v>60</v>
      </c>
      <c r="J37" s="24" t="s">
        <v>60</v>
      </c>
      <c r="K37" s="36">
        <f t="shared" si="0"/>
        <v>1.6495435687621196</v>
      </c>
      <c r="L37" s="36">
        <f t="shared" si="1"/>
        <v>139.2533836490113</v>
      </c>
      <c r="M37" s="28"/>
    </row>
    <row r="38" spans="2:13" ht="12.75">
      <c r="B38" s="83" t="s">
        <v>101</v>
      </c>
      <c r="C38" s="51">
        <f>841593757.48</f>
        <v>841593757.48</v>
      </c>
      <c r="D38" s="51">
        <f>615776287.82</f>
        <v>615776287.82</v>
      </c>
      <c r="E38" s="51">
        <f>620193601.28</f>
        <v>620193601.28</v>
      </c>
      <c r="F38" s="43" t="s">
        <v>60</v>
      </c>
      <c r="G38" s="43" t="s">
        <v>60</v>
      </c>
      <c r="H38" s="43" t="s">
        <v>60</v>
      </c>
      <c r="I38" s="43" t="s">
        <v>60</v>
      </c>
      <c r="J38" s="43" t="s">
        <v>60</v>
      </c>
      <c r="K38" s="52">
        <f t="shared" si="0"/>
        <v>0.3766590993171916</v>
      </c>
      <c r="L38" s="52">
        <f t="shared" si="1"/>
        <v>73.16787729792942</v>
      </c>
      <c r="M38" s="28"/>
    </row>
    <row r="39" spans="2:13" ht="13.5" customHeight="1">
      <c r="B39" s="31" t="s">
        <v>102</v>
      </c>
      <c r="C39" s="22">
        <f>733335444.66</f>
        <v>733335444.66</v>
      </c>
      <c r="D39" s="22">
        <f>506184419.73</f>
        <v>506184419.73</v>
      </c>
      <c r="E39" s="22">
        <f>507912389.21</f>
        <v>507912389.21</v>
      </c>
      <c r="F39" s="24" t="s">
        <v>60</v>
      </c>
      <c r="G39" s="24" t="s">
        <v>60</v>
      </c>
      <c r="H39" s="24" t="s">
        <v>60</v>
      </c>
      <c r="I39" s="24" t="s">
        <v>60</v>
      </c>
      <c r="J39" s="24" t="s">
        <v>60</v>
      </c>
      <c r="K39" s="36">
        <f t="shared" si="0"/>
        <v>0.3096237568661126</v>
      </c>
      <c r="L39" s="36">
        <f t="shared" si="1"/>
        <v>69.02494941652314</v>
      </c>
      <c r="M39" s="28"/>
    </row>
    <row r="40" spans="2:13" ht="13.5" customHeight="1">
      <c r="B40" s="83" t="s">
        <v>103</v>
      </c>
      <c r="C40" s="43">
        <f>5553597313.28</f>
        <v>5553597313.28</v>
      </c>
      <c r="D40" s="43">
        <f>3853964132.85</f>
        <v>3853964132.85</v>
      </c>
      <c r="E40" s="43">
        <f>3847994081.48</f>
        <v>3847994081.48</v>
      </c>
      <c r="F40" s="43" t="s">
        <v>60</v>
      </c>
      <c r="G40" s="43" t="s">
        <v>60</v>
      </c>
      <c r="H40" s="43" t="s">
        <v>60</v>
      </c>
      <c r="I40" s="43" t="s">
        <v>60</v>
      </c>
      <c r="J40" s="43" t="s">
        <v>60</v>
      </c>
      <c r="K40" s="66">
        <f t="shared" si="0"/>
        <v>2.357399412405393</v>
      </c>
      <c r="L40" s="66">
        <f t="shared" si="1"/>
        <v>69.3958152787606</v>
      </c>
      <c r="M40" s="28"/>
    </row>
    <row r="41" spans="2:13" ht="13.5" customHeight="1">
      <c r="B41" s="31" t="s">
        <v>104</v>
      </c>
      <c r="C41" s="22">
        <f>4769069898.43</f>
        <v>4769069898.43</v>
      </c>
      <c r="D41" s="22">
        <f>3199506118.54</f>
        <v>3199506118.54</v>
      </c>
      <c r="E41" s="22">
        <f>3194033137.25</f>
        <v>3194033137.25</v>
      </c>
      <c r="F41" s="24" t="s">
        <v>60</v>
      </c>
      <c r="G41" s="24" t="s">
        <v>60</v>
      </c>
      <c r="H41" s="24" t="s">
        <v>60</v>
      </c>
      <c r="I41" s="24" t="s">
        <v>60</v>
      </c>
      <c r="J41" s="24" t="s">
        <v>60</v>
      </c>
      <c r="K41" s="36">
        <f t="shared" si="0"/>
        <v>1.9570794080680713</v>
      </c>
      <c r="L41" s="36">
        <f t="shared" si="1"/>
        <v>67.08868158114629</v>
      </c>
      <c r="M41" s="28"/>
    </row>
    <row r="42" spans="2:13" s="5" customFormat="1" ht="25.5" customHeight="1">
      <c r="B42" s="83" t="s">
        <v>63</v>
      </c>
      <c r="C42" s="25">
        <f>C43+C44+C45+C46+C47</f>
        <v>38211311836.770004</v>
      </c>
      <c r="D42" s="25">
        <f>D43+D44+D45+D46+D47</f>
        <v>40891983952</v>
      </c>
      <c r="E42" s="25">
        <f>E43+E44+E45+E46+E47</f>
        <v>40725353359.44</v>
      </c>
      <c r="F42" s="23" t="s">
        <v>60</v>
      </c>
      <c r="G42" s="23" t="s">
        <v>60</v>
      </c>
      <c r="H42" s="23" t="s">
        <v>60</v>
      </c>
      <c r="I42" s="23" t="s">
        <v>60</v>
      </c>
      <c r="J42" s="23" t="s">
        <v>60</v>
      </c>
      <c r="K42" s="35">
        <f t="shared" si="0"/>
        <v>25.01287910773805</v>
      </c>
      <c r="L42" s="35">
        <f t="shared" si="1"/>
        <v>107.01538886359415</v>
      </c>
      <c r="M42" s="29"/>
    </row>
    <row r="43" spans="2:13" ht="13.5" customHeight="1">
      <c r="B43" s="20" t="s">
        <v>50</v>
      </c>
      <c r="C43" s="22">
        <f>9264218614</f>
        <v>9264218614</v>
      </c>
      <c r="D43" s="22">
        <f>9262773812</f>
        <v>9262773812</v>
      </c>
      <c r="E43" s="22">
        <f>9258556152</f>
        <v>9258556152</v>
      </c>
      <c r="F43" s="24" t="s">
        <v>60</v>
      </c>
      <c r="G43" s="24" t="s">
        <v>60</v>
      </c>
      <c r="H43" s="24" t="s">
        <v>60</v>
      </c>
      <c r="I43" s="24" t="s">
        <v>60</v>
      </c>
      <c r="J43" s="24" t="s">
        <v>60</v>
      </c>
      <c r="K43" s="36">
        <f t="shared" si="0"/>
        <v>5.66586942403772</v>
      </c>
      <c r="L43" s="36">
        <f t="shared" si="1"/>
        <v>99.98440449151516</v>
      </c>
      <c r="M43" s="28"/>
    </row>
    <row r="44" spans="2:13" ht="13.5" customHeight="1">
      <c r="B44" s="32" t="s">
        <v>49</v>
      </c>
      <c r="C44" s="24">
        <f>23329223227</f>
        <v>23329223227</v>
      </c>
      <c r="D44" s="24">
        <f>23329374174</f>
        <v>23329374174</v>
      </c>
      <c r="E44" s="24">
        <f>23168675261.44</f>
        <v>23168675261.44</v>
      </c>
      <c r="F44" s="24" t="s">
        <v>60</v>
      </c>
      <c r="G44" s="24" t="s">
        <v>60</v>
      </c>
      <c r="H44" s="24" t="s">
        <v>60</v>
      </c>
      <c r="I44" s="24" t="s">
        <v>60</v>
      </c>
      <c r="J44" s="24" t="s">
        <v>60</v>
      </c>
      <c r="K44" s="36">
        <f t="shared" si="0"/>
        <v>14.270151738257931</v>
      </c>
      <c r="L44" s="36">
        <f t="shared" si="1"/>
        <v>100.00064702968689</v>
      </c>
      <c r="M44" s="28"/>
    </row>
    <row r="45" spans="2:13" ht="13.5" customHeight="1">
      <c r="B45" s="32" t="s">
        <v>48</v>
      </c>
      <c r="C45" s="24">
        <f>0</f>
        <v>0</v>
      </c>
      <c r="D45" s="24">
        <f>0</f>
        <v>0</v>
      </c>
      <c r="E45" s="24">
        <f>0</f>
        <v>0</v>
      </c>
      <c r="F45" s="24" t="s">
        <v>60</v>
      </c>
      <c r="G45" s="24" t="s">
        <v>60</v>
      </c>
      <c r="H45" s="24" t="s">
        <v>60</v>
      </c>
      <c r="I45" s="24" t="s">
        <v>60</v>
      </c>
      <c r="J45" s="24" t="s">
        <v>60</v>
      </c>
      <c r="K45" s="36">
        <f t="shared" si="0"/>
        <v>0</v>
      </c>
      <c r="L45" s="36">
        <f t="shared" si="1"/>
      </c>
      <c r="M45" s="28"/>
    </row>
    <row r="46" spans="2:13" ht="13.5" customHeight="1">
      <c r="B46" s="32" t="s">
        <v>47</v>
      </c>
      <c r="C46" s="24">
        <f>336407702</f>
        <v>336407702</v>
      </c>
      <c r="D46" s="24">
        <f>336407702</f>
        <v>336407702</v>
      </c>
      <c r="E46" s="24">
        <f>336407702</f>
        <v>336407702</v>
      </c>
      <c r="F46" s="24" t="s">
        <v>60</v>
      </c>
      <c r="G46" s="24" t="s">
        <v>60</v>
      </c>
      <c r="H46" s="24" t="s">
        <v>60</v>
      </c>
      <c r="I46" s="24" t="s">
        <v>60</v>
      </c>
      <c r="J46" s="24" t="s">
        <v>60</v>
      </c>
      <c r="K46" s="36">
        <f t="shared" si="0"/>
        <v>0.20577444202548698</v>
      </c>
      <c r="L46" s="36">
        <f t="shared" si="1"/>
        <v>100</v>
      </c>
      <c r="M46" s="28"/>
    </row>
    <row r="47" spans="2:13" s="5" customFormat="1" ht="22.5" customHeight="1">
      <c r="B47" s="32" t="s">
        <v>45</v>
      </c>
      <c r="C47" s="24">
        <f>5281462293.77</f>
        <v>5281462293.77</v>
      </c>
      <c r="D47" s="24">
        <f>7963428264</f>
        <v>7963428264</v>
      </c>
      <c r="E47" s="24">
        <f>7961714244</f>
        <v>7961714244</v>
      </c>
      <c r="F47" s="24" t="s">
        <v>60</v>
      </c>
      <c r="G47" s="24" t="s">
        <v>60</v>
      </c>
      <c r="H47" s="24" t="s">
        <v>60</v>
      </c>
      <c r="I47" s="24" t="s">
        <v>60</v>
      </c>
      <c r="J47" s="24" t="s">
        <v>60</v>
      </c>
      <c r="K47" s="36">
        <f t="shared" si="0"/>
        <v>4.871083503416912</v>
      </c>
      <c r="L47" s="36">
        <f t="shared" si="1"/>
        <v>150.78074633598425</v>
      </c>
      <c r="M47" s="29"/>
    </row>
    <row r="48" spans="1:13" s="5" customFormat="1" ht="9" customHeight="1">
      <c r="A48" s="2"/>
      <c r="B48" s="21"/>
      <c r="C48" s="7"/>
      <c r="D48" s="8"/>
      <c r="E48" s="8"/>
      <c r="F48" s="16"/>
      <c r="G48" s="16"/>
      <c r="H48" s="16"/>
      <c r="I48" s="16"/>
      <c r="J48" s="16"/>
      <c r="K48" s="9"/>
      <c r="L48" s="9"/>
      <c r="M48" s="3"/>
    </row>
    <row r="49" spans="1:13" s="5" customFormat="1" ht="13.5" customHeight="1">
      <c r="A49" s="2"/>
      <c r="B49" s="83" t="s">
        <v>5</v>
      </c>
      <c r="C49" s="43">
        <f aca="true" t="shared" si="4" ref="C49:J49">+C6</f>
        <v>159266998771.9</v>
      </c>
      <c r="D49" s="43">
        <f t="shared" si="4"/>
        <v>163483714832.93</v>
      </c>
      <c r="E49" s="43">
        <f t="shared" si="4"/>
        <v>162622004440.02</v>
      </c>
      <c r="F49" s="43">
        <f t="shared" si="4"/>
        <v>3125845381.12</v>
      </c>
      <c r="G49" s="43">
        <f t="shared" si="4"/>
        <v>819998073.27</v>
      </c>
      <c r="H49" s="43">
        <f t="shared" si="4"/>
        <v>129653812.81</v>
      </c>
      <c r="I49" s="43">
        <f t="shared" si="4"/>
        <v>85218809.71</v>
      </c>
      <c r="J49" s="43">
        <f t="shared" si="4"/>
        <v>2198072.17</v>
      </c>
      <c r="K49" s="67">
        <f t="shared" si="0"/>
        <v>100</v>
      </c>
      <c r="L49" s="67">
        <f>IF(C49=0,"",100*D49/C49)</f>
        <v>102.64757676954102</v>
      </c>
      <c r="M49" s="67"/>
    </row>
    <row r="50" spans="1:13" s="5" customFormat="1" ht="13.5" customHeight="1">
      <c r="A50" s="2"/>
      <c r="B50" s="84" t="s">
        <v>75</v>
      </c>
      <c r="C50" s="24">
        <f>16795094012.79</f>
        <v>16795094012.79</v>
      </c>
      <c r="D50" s="24">
        <f>17496141904.42</f>
        <v>17496141904.42</v>
      </c>
      <c r="E50" s="24">
        <f>17413025950.56</f>
        <v>17413025950.56</v>
      </c>
      <c r="F50" s="24">
        <f>0</f>
        <v>0</v>
      </c>
      <c r="G50" s="24">
        <f>216.89</f>
        <v>216.89</v>
      </c>
      <c r="H50" s="24">
        <f>0</f>
        <v>0</v>
      </c>
      <c r="I50" s="24">
        <f>122480.7</f>
        <v>122480.7</v>
      </c>
      <c r="J50" s="24">
        <f>0</f>
        <v>0</v>
      </c>
      <c r="K50" s="40">
        <f t="shared" si="0"/>
        <v>10.702070186195577</v>
      </c>
      <c r="L50" s="40">
        <f>IF(C50=0,"",100*D50/C50)</f>
        <v>104.17412305698394</v>
      </c>
      <c r="M50" s="40"/>
    </row>
    <row r="51" spans="1:13" s="5" customFormat="1" ht="13.5" customHeight="1">
      <c r="A51" s="2"/>
      <c r="B51" s="84" t="s">
        <v>76</v>
      </c>
      <c r="C51" s="24">
        <f>C49-C50</f>
        <v>142471904759.11</v>
      </c>
      <c r="D51" s="24">
        <f aca="true" t="shared" si="5" ref="D51:J51">D49-D50</f>
        <v>145987572928.51</v>
      </c>
      <c r="E51" s="24">
        <f t="shared" si="5"/>
        <v>145208978489.46</v>
      </c>
      <c r="F51" s="24">
        <f t="shared" si="5"/>
        <v>3125845381.12</v>
      </c>
      <c r="G51" s="24">
        <f t="shared" si="5"/>
        <v>819997856.38</v>
      </c>
      <c r="H51" s="24">
        <f t="shared" si="5"/>
        <v>129653812.81</v>
      </c>
      <c r="I51" s="24">
        <f t="shared" si="5"/>
        <v>85096329.00999999</v>
      </c>
      <c r="J51" s="24">
        <f t="shared" si="5"/>
        <v>2198072.17</v>
      </c>
      <c r="K51" s="40">
        <f t="shared" si="0"/>
        <v>89.29792981380443</v>
      </c>
      <c r="L51" s="40">
        <f>IF(C51=0,"",100*D51/C51)</f>
        <v>102.46762207281799</v>
      </c>
      <c r="M51" s="40"/>
    </row>
    <row r="52" spans="2:13" ht="15">
      <c r="B52" s="101" t="str">
        <f>CONCATENATE("Informacja z wykonania budżetów gmin za ",$D$107," ",$C$108," rok    ",$C$110,"")</f>
        <v>Informacja z wykonania budżetów gmin za IV Kwartały 2021 rok    </v>
      </c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</row>
    <row r="53" spans="2:13" s="5" customFormat="1" ht="7.5" customHeight="1">
      <c r="B53" s="6"/>
      <c r="C53" s="7"/>
      <c r="D53" s="8"/>
      <c r="E53" s="8"/>
      <c r="F53" s="4"/>
      <c r="G53" s="4"/>
      <c r="H53" s="4"/>
      <c r="I53" s="4"/>
      <c r="J53" s="4"/>
      <c r="K53" s="9"/>
      <c r="L53" s="9"/>
      <c r="M53" s="3"/>
    </row>
    <row r="54" spans="2:27" ht="29.25" customHeight="1">
      <c r="B54" s="104" t="s">
        <v>0</v>
      </c>
      <c r="C54" s="106" t="s">
        <v>56</v>
      </c>
      <c r="D54" s="106" t="s">
        <v>57</v>
      </c>
      <c r="E54" s="106" t="s">
        <v>58</v>
      </c>
      <c r="F54" s="106" t="s">
        <v>12</v>
      </c>
      <c r="G54" s="106"/>
      <c r="H54" s="106"/>
      <c r="I54" s="106" t="s">
        <v>92</v>
      </c>
      <c r="J54" s="106"/>
      <c r="K54" s="106" t="s">
        <v>2</v>
      </c>
      <c r="L54" s="108" t="s">
        <v>36</v>
      </c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2:27" ht="18" customHeight="1">
      <c r="B55" s="104"/>
      <c r="C55" s="106"/>
      <c r="D55" s="102"/>
      <c r="E55" s="106"/>
      <c r="F55" s="94" t="s">
        <v>59</v>
      </c>
      <c r="G55" s="107" t="s">
        <v>34</v>
      </c>
      <c r="H55" s="102"/>
      <c r="I55" s="106"/>
      <c r="J55" s="106"/>
      <c r="K55" s="106"/>
      <c r="L55" s="108"/>
      <c r="M55" s="11"/>
      <c r="N55" s="12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2:27" ht="36" customHeight="1">
      <c r="B56" s="104"/>
      <c r="C56" s="106"/>
      <c r="D56" s="102"/>
      <c r="E56" s="106"/>
      <c r="F56" s="102"/>
      <c r="G56" s="18" t="s">
        <v>54</v>
      </c>
      <c r="H56" s="18" t="s">
        <v>55</v>
      </c>
      <c r="I56" s="106"/>
      <c r="J56" s="106"/>
      <c r="K56" s="106"/>
      <c r="L56" s="108"/>
      <c r="M56" s="11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  <row r="57" spans="2:27" ht="13.5" customHeight="1">
      <c r="B57" s="104"/>
      <c r="C57" s="105" t="s">
        <v>82</v>
      </c>
      <c r="D57" s="105"/>
      <c r="E57" s="105"/>
      <c r="F57" s="105"/>
      <c r="G57" s="105"/>
      <c r="H57" s="105"/>
      <c r="I57" s="105"/>
      <c r="J57" s="105"/>
      <c r="K57" s="105" t="s">
        <v>4</v>
      </c>
      <c r="L57" s="105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</row>
    <row r="58" spans="2:27" ht="11.25" customHeight="1">
      <c r="B58" s="17">
        <v>1</v>
      </c>
      <c r="C58" s="19">
        <v>2</v>
      </c>
      <c r="D58" s="19">
        <v>3</v>
      </c>
      <c r="E58" s="19">
        <v>4</v>
      </c>
      <c r="F58" s="17">
        <v>5</v>
      </c>
      <c r="G58" s="17">
        <v>6</v>
      </c>
      <c r="H58" s="19">
        <v>7</v>
      </c>
      <c r="I58" s="102">
        <v>8</v>
      </c>
      <c r="J58" s="102"/>
      <c r="K58" s="17">
        <v>9</v>
      </c>
      <c r="L58" s="19">
        <v>10</v>
      </c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</row>
    <row r="59" spans="2:12" ht="25.5" customHeight="1">
      <c r="B59" s="83" t="s">
        <v>64</v>
      </c>
      <c r="C59" s="68">
        <f>168209291084.25</f>
        <v>168209291084.25</v>
      </c>
      <c r="D59" s="68">
        <f>153062115957.11</f>
        <v>153062115957.11</v>
      </c>
      <c r="E59" s="68">
        <f>152788989425.54</f>
        <v>152788989425.54</v>
      </c>
      <c r="F59" s="68">
        <f>5638573805.55</f>
        <v>5638573805.55</v>
      </c>
      <c r="G59" s="68">
        <f>2059936.25</f>
        <v>2059936.25</v>
      </c>
      <c r="H59" s="68">
        <f>7466241.35</f>
        <v>7466241.35</v>
      </c>
      <c r="I59" s="103">
        <f>1486636594.9</f>
        <v>1486636594.9</v>
      </c>
      <c r="J59" s="103"/>
      <c r="K59" s="60">
        <f aca="true" t="shared" si="6" ref="K59:K68">IF($E$59=0,"",100*$E59/$E$59)</f>
        <v>100</v>
      </c>
      <c r="L59" s="60">
        <f aca="true" t="shared" si="7" ref="L59:L68">IF(C59=0,"",100*E59/C59)</f>
        <v>90.83266949208738</v>
      </c>
    </row>
    <row r="60" spans="2:12" ht="24" customHeight="1">
      <c r="B60" s="83" t="s">
        <v>14</v>
      </c>
      <c r="C60" s="26">
        <f>31435408928.81</f>
        <v>31435408928.81</v>
      </c>
      <c r="D60" s="26">
        <f>23388582280.79</f>
        <v>23388582280.79</v>
      </c>
      <c r="E60" s="26">
        <f>23252898024.57</f>
        <v>23252898024.57</v>
      </c>
      <c r="F60" s="26">
        <f>506636151.23</f>
        <v>506636151.23</v>
      </c>
      <c r="G60" s="26">
        <f>138434.12</f>
        <v>138434.12</v>
      </c>
      <c r="H60" s="26">
        <f>983771.11</f>
        <v>983771.11</v>
      </c>
      <c r="I60" s="100">
        <f>1344901020.91</f>
        <v>1344901020.91</v>
      </c>
      <c r="J60" s="109"/>
      <c r="K60" s="37">
        <f t="shared" si="6"/>
        <v>15.218961858440746</v>
      </c>
      <c r="L60" s="37">
        <f t="shared" si="7"/>
        <v>73.97040094890933</v>
      </c>
    </row>
    <row r="61" spans="2:12" ht="22.5" customHeight="1">
      <c r="B61" s="20" t="s">
        <v>13</v>
      </c>
      <c r="C61" s="22">
        <f>29824294273.65</f>
        <v>29824294273.65</v>
      </c>
      <c r="D61" s="22">
        <f>21918157036.41</f>
        <v>21918157036.41</v>
      </c>
      <c r="E61" s="22">
        <f>21782472780.19</f>
        <v>21782472780.19</v>
      </c>
      <c r="F61" s="22">
        <f>503567751.23</f>
        <v>503567751.23</v>
      </c>
      <c r="G61" s="22">
        <f>138434.12</f>
        <v>138434.12</v>
      </c>
      <c r="H61" s="22">
        <f>983771.11</f>
        <v>983771.11</v>
      </c>
      <c r="I61" s="90">
        <f>1344701020.91</f>
        <v>1344701020.91</v>
      </c>
      <c r="J61" s="91"/>
      <c r="K61" s="38">
        <f t="shared" si="6"/>
        <v>14.256572323757295</v>
      </c>
      <c r="L61" s="38">
        <f t="shared" si="7"/>
        <v>73.03600407213989</v>
      </c>
    </row>
    <row r="62" spans="2:12" ht="25.5" customHeight="1">
      <c r="B62" s="83" t="s">
        <v>65</v>
      </c>
      <c r="C62" s="26">
        <f aca="true" t="shared" si="8" ref="C62:I62">C59-C60</f>
        <v>136773882155.44</v>
      </c>
      <c r="D62" s="26">
        <f t="shared" si="8"/>
        <v>129673533676.31998</v>
      </c>
      <c r="E62" s="26">
        <f t="shared" si="8"/>
        <v>129536091400.97</v>
      </c>
      <c r="F62" s="26">
        <f t="shared" si="8"/>
        <v>5131937654.32</v>
      </c>
      <c r="G62" s="26">
        <f t="shared" si="8"/>
        <v>1921502.13</v>
      </c>
      <c r="H62" s="26">
        <f t="shared" si="8"/>
        <v>6482470.239999999</v>
      </c>
      <c r="I62" s="100">
        <f t="shared" si="8"/>
        <v>141735573.99</v>
      </c>
      <c r="J62" s="100"/>
      <c r="K62" s="37">
        <f t="shared" si="6"/>
        <v>84.78103814155925</v>
      </c>
      <c r="L62" s="37">
        <f t="shared" si="7"/>
        <v>94.70820697606256</v>
      </c>
    </row>
    <row r="63" spans="2:12" ht="22.5">
      <c r="B63" s="20" t="s">
        <v>105</v>
      </c>
      <c r="C63" s="22">
        <f>49461551383.4001</f>
        <v>49461551383.4001</v>
      </c>
      <c r="D63" s="22">
        <f>47671580547.27</f>
        <v>47671580547.27</v>
      </c>
      <c r="E63" s="22">
        <f>47623218543.27</f>
        <v>47623218543.27</v>
      </c>
      <c r="F63" s="22">
        <f>3697287204.88</f>
        <v>3697287204.88</v>
      </c>
      <c r="G63" s="22">
        <f>1273264.59</f>
        <v>1273264.59</v>
      </c>
      <c r="H63" s="22">
        <f>1715554.17</f>
        <v>1715554.17</v>
      </c>
      <c r="I63" s="90">
        <f>545552.05</f>
        <v>545552.05</v>
      </c>
      <c r="J63" s="91"/>
      <c r="K63" s="38">
        <f t="shared" si="6"/>
        <v>31.16927386084888</v>
      </c>
      <c r="L63" s="38">
        <f t="shared" si="7"/>
        <v>96.28330938130043</v>
      </c>
    </row>
    <row r="64" spans="2:12" ht="13.5" customHeight="1">
      <c r="B64" s="32" t="s">
        <v>53</v>
      </c>
      <c r="C64" s="70">
        <f>9682285959.83</f>
        <v>9682285959.83</v>
      </c>
      <c r="D64" s="70">
        <f>9384284743.99</f>
        <v>9384284743.99</v>
      </c>
      <c r="E64" s="70">
        <f>9379190806.04</f>
        <v>9379190806.04</v>
      </c>
      <c r="F64" s="70">
        <f>4356483.22</f>
        <v>4356483.22</v>
      </c>
      <c r="G64" s="70">
        <f>0</f>
        <v>0</v>
      </c>
      <c r="H64" s="70">
        <f>82310.42</f>
        <v>82310.42</v>
      </c>
      <c r="I64" s="99">
        <f>19853926.32</f>
        <v>19853926.32</v>
      </c>
      <c r="J64" s="99"/>
      <c r="K64" s="71">
        <f t="shared" si="6"/>
        <v>6.138656222090431</v>
      </c>
      <c r="L64" s="71">
        <f t="shared" si="7"/>
        <v>96.86959097213732</v>
      </c>
    </row>
    <row r="65" spans="2:12" ht="13.5" customHeight="1">
      <c r="B65" s="32" t="s">
        <v>52</v>
      </c>
      <c r="C65" s="24">
        <f>683228357</f>
        <v>683228357</v>
      </c>
      <c r="D65" s="24">
        <f>484915464.04</f>
        <v>484915464.04</v>
      </c>
      <c r="E65" s="24">
        <f>480859519.93</f>
        <v>480859519.93</v>
      </c>
      <c r="F65" s="24">
        <f>23252986.03</f>
        <v>23252986.03</v>
      </c>
      <c r="G65" s="24">
        <f>435.86</f>
        <v>435.86</v>
      </c>
      <c r="H65" s="24">
        <f>25438.68</f>
        <v>25438.68</v>
      </c>
      <c r="I65" s="112">
        <f>0</f>
        <v>0</v>
      </c>
      <c r="J65" s="112"/>
      <c r="K65" s="71">
        <f t="shared" si="6"/>
        <v>0.31472131711712215</v>
      </c>
      <c r="L65" s="71">
        <f t="shared" si="7"/>
        <v>70.38049797016842</v>
      </c>
    </row>
    <row r="66" spans="2:12" ht="22.5" customHeight="1">
      <c r="B66" s="32" t="s">
        <v>71</v>
      </c>
      <c r="C66" s="70">
        <f>70480775.21</f>
        <v>70480775.21</v>
      </c>
      <c r="D66" s="70">
        <f>4722014.47</f>
        <v>4722014.47</v>
      </c>
      <c r="E66" s="70">
        <f>4324515.05</f>
        <v>4324515.05</v>
      </c>
      <c r="F66" s="70">
        <f>0</f>
        <v>0</v>
      </c>
      <c r="G66" s="70">
        <f>0</f>
        <v>0</v>
      </c>
      <c r="H66" s="70">
        <f>0</f>
        <v>0</v>
      </c>
      <c r="I66" s="99">
        <f>0</f>
        <v>0</v>
      </c>
      <c r="J66" s="99"/>
      <c r="K66" s="71">
        <f t="shared" si="6"/>
        <v>0.0028303839604276616</v>
      </c>
      <c r="L66" s="71">
        <f t="shared" si="7"/>
        <v>6.13573706746975</v>
      </c>
    </row>
    <row r="67" spans="2:12" ht="22.5" customHeight="1">
      <c r="B67" s="32" t="s">
        <v>73</v>
      </c>
      <c r="C67" s="70">
        <f>41333299704.21</f>
        <v>41333299704.21</v>
      </c>
      <c r="D67" s="70">
        <f>40896183020.48</f>
        <v>40896183020.48</v>
      </c>
      <c r="E67" s="70">
        <f>40883962522.07</f>
        <v>40883962522.07</v>
      </c>
      <c r="F67" s="70">
        <f>460214743.74</f>
        <v>460214743.74</v>
      </c>
      <c r="G67" s="70">
        <f>23149</f>
        <v>23149</v>
      </c>
      <c r="H67" s="70">
        <f>102998.17</f>
        <v>102998.17</v>
      </c>
      <c r="I67" s="110">
        <f>0</f>
        <v>0</v>
      </c>
      <c r="J67" s="111"/>
      <c r="K67" s="71">
        <f t="shared" si="6"/>
        <v>26.758448155057888</v>
      </c>
      <c r="L67" s="71">
        <f t="shared" si="7"/>
        <v>98.91289302969868</v>
      </c>
    </row>
    <row r="68" spans="2:12" ht="13.5" customHeight="1">
      <c r="B68" s="32" t="s">
        <v>51</v>
      </c>
      <c r="C68" s="24">
        <f aca="true" t="shared" si="9" ref="C68:I68">C62-C63-C64-C65-C66-C67</f>
        <v>35543035975.789894</v>
      </c>
      <c r="D68" s="24">
        <f t="shared" si="9"/>
        <v>31231847886.069984</v>
      </c>
      <c r="E68" s="24">
        <f t="shared" si="9"/>
        <v>31164535494.61001</v>
      </c>
      <c r="F68" s="24">
        <f t="shared" si="9"/>
        <v>946826236.4499996</v>
      </c>
      <c r="G68" s="24">
        <f t="shared" si="9"/>
        <v>624652.6799999998</v>
      </c>
      <c r="H68" s="24">
        <f t="shared" si="9"/>
        <v>4556168.8</v>
      </c>
      <c r="I68" s="99">
        <f t="shared" si="9"/>
        <v>121336095.62</v>
      </c>
      <c r="J68" s="99" t="e">
        <f>J62-J63-#REF!-J64-J65-J66-J67</f>
        <v>#REF!</v>
      </c>
      <c r="K68" s="71">
        <f t="shared" si="6"/>
        <v>20.39710820248451</v>
      </c>
      <c r="L68" s="71">
        <f t="shared" si="7"/>
        <v>87.6811297600962</v>
      </c>
    </row>
    <row r="69" spans="2:13" ht="18" customHeight="1">
      <c r="B69" s="83" t="s">
        <v>15</v>
      </c>
      <c r="C69" s="26">
        <f>C6-C59</f>
        <v>-8942292312.350006</v>
      </c>
      <c r="D69" s="26"/>
      <c r="E69" s="26">
        <f>D6-E59</f>
        <v>10694725407.389984</v>
      </c>
      <c r="F69" s="26"/>
      <c r="G69" s="26"/>
      <c r="H69" s="26"/>
      <c r="I69" s="100"/>
      <c r="J69" s="100"/>
      <c r="K69" s="27"/>
      <c r="L69" s="27"/>
      <c r="M69" s="13"/>
    </row>
    <row r="70" spans="2:13" ht="33" customHeight="1">
      <c r="B70" s="85" t="s">
        <v>77</v>
      </c>
      <c r="C70" s="26">
        <f>+C51-C62</f>
        <v>5698022603.669983</v>
      </c>
      <c r="D70" s="26"/>
      <c r="E70" s="26">
        <f>+D51-E62</f>
        <v>16451481527.540009</v>
      </c>
      <c r="F70" s="26"/>
      <c r="G70" s="26"/>
      <c r="H70" s="26"/>
      <c r="I70" s="26"/>
      <c r="J70" s="26"/>
      <c r="K70" s="27"/>
      <c r="L70" s="27"/>
      <c r="M70" s="13"/>
    </row>
    <row r="71" spans="2:13" ht="8.25" customHeight="1" thickBot="1">
      <c r="B71" s="72"/>
      <c r="C71" s="73"/>
      <c r="D71" s="73"/>
      <c r="E71" s="73"/>
      <c r="F71" s="73"/>
      <c r="G71" s="73"/>
      <c r="H71" s="73"/>
      <c r="I71" s="73"/>
      <c r="J71" s="73"/>
      <c r="K71" s="27"/>
      <c r="L71" s="27"/>
      <c r="M71" s="13"/>
    </row>
    <row r="72" spans="2:13" ht="14.25" customHeight="1">
      <c r="B72" s="86" t="s">
        <v>78</v>
      </c>
      <c r="C72" s="73"/>
      <c r="D72" s="73"/>
      <c r="E72" s="73"/>
      <c r="F72" s="73"/>
      <c r="G72" s="73"/>
      <c r="H72" s="73"/>
      <c r="I72" s="73"/>
      <c r="J72" s="73"/>
      <c r="K72" s="27"/>
      <c r="L72" s="27"/>
      <c r="M72" s="13"/>
    </row>
    <row r="73" spans="2:13" ht="24" customHeight="1">
      <c r="B73" s="83" t="s">
        <v>79</v>
      </c>
      <c r="C73" s="43">
        <f>9940617203.55</f>
        <v>9940617203.55</v>
      </c>
      <c r="D73" s="43">
        <f>7383097651.73001</f>
        <v>7383097651.73001</v>
      </c>
      <c r="E73" s="43">
        <f>7333351362.99001</f>
        <v>7333351362.99001</v>
      </c>
      <c r="F73" s="43">
        <f>165210838.57</f>
        <v>165210838.57</v>
      </c>
      <c r="G73" s="43">
        <f>0</f>
        <v>0</v>
      </c>
      <c r="H73" s="43">
        <f>173842.15</f>
        <v>173842.15</v>
      </c>
      <c r="I73" s="43">
        <f>199353018.19</f>
        <v>199353018.19</v>
      </c>
      <c r="J73" s="43">
        <f>0</f>
        <v>0</v>
      </c>
      <c r="K73" s="74">
        <f>IF($E$59=0,"",100*$E73/$E$73)</f>
        <v>100</v>
      </c>
      <c r="L73" s="74">
        <f>IF(C73=0,"",100*E73/C73)</f>
        <v>73.77158996094447</v>
      </c>
      <c r="M73" s="13"/>
    </row>
    <row r="74" spans="2:13" ht="15" customHeight="1">
      <c r="B74" s="87" t="s">
        <v>80</v>
      </c>
      <c r="C74" s="22">
        <f>8711644884.33</f>
        <v>8711644884.33</v>
      </c>
      <c r="D74" s="22">
        <f>6533323168.42</f>
        <v>6533323168.42</v>
      </c>
      <c r="E74" s="22">
        <f>6485946378.78</f>
        <v>6485946378.78</v>
      </c>
      <c r="F74" s="22">
        <f>155047980.69</f>
        <v>155047980.69</v>
      </c>
      <c r="G74" s="22">
        <f>0</f>
        <v>0</v>
      </c>
      <c r="H74" s="22">
        <f>173819.09</f>
        <v>173819.09</v>
      </c>
      <c r="I74" s="22">
        <f>198239219.2</f>
        <v>198239219.2</v>
      </c>
      <c r="J74" s="22">
        <f>0</f>
        <v>0</v>
      </c>
      <c r="K74" s="38">
        <f>IF($E$59=0,"",100*$E74/$E$73)</f>
        <v>88.44450589826232</v>
      </c>
      <c r="L74" s="38">
        <f>IF(C74=0,"",100*E74/C74)</f>
        <v>74.45145509140923</v>
      </c>
      <c r="M74" s="13"/>
    </row>
    <row r="75" spans="2:13" ht="14.25" customHeight="1">
      <c r="B75" s="88" t="s">
        <v>81</v>
      </c>
      <c r="C75" s="22">
        <f>+C73-C74</f>
        <v>1228972319.2199993</v>
      </c>
      <c r="D75" s="22">
        <f aca="true" t="shared" si="10" ref="D75:J75">+D73-D74</f>
        <v>849774483.31001</v>
      </c>
      <c r="E75" s="22">
        <f t="shared" si="10"/>
        <v>847404984.2100105</v>
      </c>
      <c r="F75" s="22">
        <f t="shared" si="10"/>
        <v>10162857.879999995</v>
      </c>
      <c r="G75" s="22">
        <f t="shared" si="10"/>
        <v>0</v>
      </c>
      <c r="H75" s="22">
        <f t="shared" si="10"/>
        <v>23.05999999999767</v>
      </c>
      <c r="I75" s="22">
        <f t="shared" si="10"/>
        <v>1113798.9900000095</v>
      </c>
      <c r="J75" s="22">
        <f t="shared" si="10"/>
        <v>0</v>
      </c>
      <c r="K75" s="38">
        <f>IF($E$59=0,"",100*$E75/$E$73)</f>
        <v>11.55549410173768</v>
      </c>
      <c r="L75" s="38">
        <f>IF(C75=0,"",100*E75/C75)</f>
        <v>68.95232471532306</v>
      </c>
      <c r="M75" s="10"/>
    </row>
    <row r="76" spans="2:13" ht="15">
      <c r="B76" s="101" t="str">
        <f>CONCATENATE("Informacja z wykonania budżetów gmin za ",$D$107," ",$C$108," rok    ",$C$110,"")</f>
        <v>Informacja z wykonania budżetów gmin za IV Kwartały 2021 rok    </v>
      </c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</row>
    <row r="77" ht="6.75" customHeight="1"/>
    <row r="78" spans="2:8" ht="18" customHeight="1">
      <c r="B78" s="82" t="s">
        <v>16</v>
      </c>
      <c r="C78" s="92" t="s">
        <v>17</v>
      </c>
      <c r="D78" s="93"/>
      <c r="E78" s="92" t="s">
        <v>1</v>
      </c>
      <c r="F78" s="93"/>
      <c r="G78" s="19" t="s">
        <v>26</v>
      </c>
      <c r="H78" s="19" t="s">
        <v>27</v>
      </c>
    </row>
    <row r="79" spans="2:10" ht="13.5" customHeight="1">
      <c r="B79" s="42"/>
      <c r="C79" s="94" t="s">
        <v>82</v>
      </c>
      <c r="D79" s="95"/>
      <c r="E79" s="95"/>
      <c r="F79" s="96"/>
      <c r="G79" s="97" t="s">
        <v>4</v>
      </c>
      <c r="H79" s="98"/>
      <c r="J79" s="14"/>
    </row>
    <row r="80" spans="2:10" ht="11.25" customHeight="1">
      <c r="B80" s="41">
        <v>1</v>
      </c>
      <c r="C80" s="44">
        <v>2</v>
      </c>
      <c r="D80" s="45"/>
      <c r="E80" s="44">
        <v>3</v>
      </c>
      <c r="F80" s="45"/>
      <c r="G80" s="30">
        <v>4</v>
      </c>
      <c r="H80" s="30">
        <v>5</v>
      </c>
      <c r="J80" s="10"/>
    </row>
    <row r="81" spans="2:8" ht="25.5" customHeight="1">
      <c r="B81" s="80" t="s">
        <v>66</v>
      </c>
      <c r="C81" s="46">
        <f>16395208250.34</f>
        <v>16395208250.34</v>
      </c>
      <c r="D81" s="47"/>
      <c r="E81" s="46">
        <f>21613816616.95</f>
        <v>21613816616.95</v>
      </c>
      <c r="F81" s="47"/>
      <c r="G81" s="39">
        <f aca="true" t="shared" si="11" ref="G81:G89">IF($E$81=0,"",100*$E81/$E$81)</f>
        <v>100</v>
      </c>
      <c r="H81" s="37">
        <f>IF(C81=0,"",100*E81/C81)</f>
        <v>131.83008283229205</v>
      </c>
    </row>
    <row r="82" spans="2:8" ht="26.25" customHeight="1">
      <c r="B82" s="62" t="s">
        <v>93</v>
      </c>
      <c r="C82" s="48">
        <f>5748892282.35</f>
        <v>5748892282.35</v>
      </c>
      <c r="D82" s="49"/>
      <c r="E82" s="48">
        <f>4465542486.63</f>
        <v>4465542486.63</v>
      </c>
      <c r="F82" s="49"/>
      <c r="G82" s="58">
        <f t="shared" si="11"/>
        <v>20.660592091486652</v>
      </c>
      <c r="H82" s="59">
        <f aca="true" t="shared" si="12" ref="H82:H94">IF(C82=0,"",100*E82/C82)</f>
        <v>77.67657258668622</v>
      </c>
    </row>
    <row r="83" spans="2:8" ht="22.5">
      <c r="B83" s="75" t="s">
        <v>94</v>
      </c>
      <c r="C83" s="76">
        <f>219461404.91</f>
        <v>219461404.91</v>
      </c>
      <c r="D83" s="77"/>
      <c r="E83" s="76">
        <f>206269000</f>
        <v>206269000</v>
      </c>
      <c r="F83" s="77"/>
      <c r="G83" s="78">
        <f t="shared" si="11"/>
        <v>0.9543386235554511</v>
      </c>
      <c r="H83" s="69">
        <f t="shared" si="12"/>
        <v>93.98873578002923</v>
      </c>
    </row>
    <row r="84" spans="2:8" ht="12.75">
      <c r="B84" s="79" t="s">
        <v>95</v>
      </c>
      <c r="C84" s="76">
        <f>53282301.99</f>
        <v>53282301.99</v>
      </c>
      <c r="D84" s="77"/>
      <c r="E84" s="76">
        <f>48746343.21</f>
        <v>48746343.21</v>
      </c>
      <c r="F84" s="77"/>
      <c r="G84" s="78">
        <f t="shared" si="11"/>
        <v>0.2255332506697226</v>
      </c>
      <c r="H84" s="69">
        <f t="shared" si="12"/>
        <v>91.48693166287877</v>
      </c>
    </row>
    <row r="85" spans="2:8" ht="12.75">
      <c r="B85" s="79" t="s">
        <v>96</v>
      </c>
      <c r="C85" s="76">
        <f>1493403390.52</f>
        <v>1493403390.52</v>
      </c>
      <c r="D85" s="77"/>
      <c r="E85" s="76">
        <f>3100387160.75</f>
        <v>3100387160.75</v>
      </c>
      <c r="F85" s="77"/>
      <c r="G85" s="78">
        <f t="shared" si="11"/>
        <v>14.34446870581206</v>
      </c>
      <c r="H85" s="69">
        <f t="shared" si="12"/>
        <v>207.60547220067926</v>
      </c>
    </row>
    <row r="86" spans="2:8" ht="45">
      <c r="B86" s="79" t="s">
        <v>106</v>
      </c>
      <c r="C86" s="76">
        <f>3709830348.97</f>
        <v>3709830348.97</v>
      </c>
      <c r="D86" s="77"/>
      <c r="E86" s="76">
        <f>4733679708.14</f>
        <v>4733679708.14</v>
      </c>
      <c r="F86" s="77"/>
      <c r="G86" s="78">
        <f t="shared" si="11"/>
        <v>21.90117456825164</v>
      </c>
      <c r="H86" s="69">
        <f t="shared" si="12"/>
        <v>127.5982797826392</v>
      </c>
    </row>
    <row r="87" spans="2:8" ht="13.5" customHeight="1">
      <c r="B87" s="79" t="s">
        <v>97</v>
      </c>
      <c r="C87" s="76">
        <f>650003.68</f>
        <v>650003.68</v>
      </c>
      <c r="D87" s="77"/>
      <c r="E87" s="76">
        <f>43650003.68</f>
        <v>43650003.68</v>
      </c>
      <c r="F87" s="77"/>
      <c r="G87" s="78">
        <f t="shared" si="11"/>
        <v>0.20195416873190628</v>
      </c>
      <c r="H87" s="69">
        <f t="shared" si="12"/>
        <v>6715.347162342219</v>
      </c>
    </row>
    <row r="88" spans="2:8" ht="40.5" customHeight="1">
      <c r="B88" s="79" t="s">
        <v>84</v>
      </c>
      <c r="C88" s="76">
        <f>5362277635.11</f>
        <v>5362277635.11</v>
      </c>
      <c r="D88" s="77"/>
      <c r="E88" s="76">
        <f>9202302966.6</f>
        <v>9202302966.6</v>
      </c>
      <c r="F88" s="77"/>
      <c r="G88" s="78">
        <f t="shared" si="11"/>
        <v>42.57602037477899</v>
      </c>
      <c r="H88" s="69">
        <f t="shared" si="12"/>
        <v>171.6118334930494</v>
      </c>
    </row>
    <row r="89" spans="2:8" ht="12.75">
      <c r="B89" s="79" t="s">
        <v>85</v>
      </c>
      <c r="C89" s="76">
        <f>26872287.72</f>
        <v>26872287.72</v>
      </c>
      <c r="D89" s="77"/>
      <c r="E89" s="76">
        <f>19507947.94</f>
        <v>19507947.94</v>
      </c>
      <c r="F89" s="77"/>
      <c r="G89" s="78">
        <f t="shared" si="11"/>
        <v>0.09025684026902249</v>
      </c>
      <c r="H89" s="69">
        <f t="shared" si="12"/>
        <v>72.59503970508992</v>
      </c>
    </row>
    <row r="90" spans="2:8" ht="25.5" customHeight="1">
      <c r="B90" s="80" t="s">
        <v>67</v>
      </c>
      <c r="C90" s="56">
        <f>7383884277.71</f>
        <v>7383884277.71</v>
      </c>
      <c r="D90" s="57"/>
      <c r="E90" s="56">
        <f>6381204529.28</f>
        <v>6381204529.28</v>
      </c>
      <c r="F90" s="57"/>
      <c r="G90" s="39">
        <f>IF($E$90=0,"",100*$E90/$E$90)</f>
        <v>100</v>
      </c>
      <c r="H90" s="37">
        <f t="shared" si="12"/>
        <v>86.42070066757647</v>
      </c>
    </row>
    <row r="91" spans="2:8" ht="36" customHeight="1">
      <c r="B91" s="62" t="s">
        <v>98</v>
      </c>
      <c r="C91" s="48">
        <f>4555163874.68</f>
        <v>4555163874.68</v>
      </c>
      <c r="D91" s="54"/>
      <c r="E91" s="55">
        <f>4530891681.35</f>
        <v>4530891681.35</v>
      </c>
      <c r="F91" s="54"/>
      <c r="G91" s="58">
        <f>IF($E$90=0,"",100*$E91/$E$90)</f>
        <v>71.00370565713912</v>
      </c>
      <c r="H91" s="59">
        <f t="shared" si="12"/>
        <v>99.46714994240016</v>
      </c>
    </row>
    <row r="92" spans="2:8" ht="24.75" customHeight="1">
      <c r="B92" s="79" t="s">
        <v>99</v>
      </c>
      <c r="C92" s="76">
        <f>109221711.44</f>
        <v>109221711.44</v>
      </c>
      <c r="D92" s="77"/>
      <c r="E92" s="76">
        <f>109221711.44</f>
        <v>109221711.44</v>
      </c>
      <c r="F92" s="77"/>
      <c r="G92" s="78">
        <f>IF($E$90=0,"",100*$E92/$E$90)</f>
        <v>1.7116159016505248</v>
      </c>
      <c r="H92" s="69">
        <f t="shared" si="12"/>
        <v>100</v>
      </c>
    </row>
    <row r="93" spans="2:8" ht="12.75">
      <c r="B93" s="75" t="s">
        <v>100</v>
      </c>
      <c r="C93" s="76">
        <f>81141206.2</f>
        <v>81141206.2</v>
      </c>
      <c r="D93" s="77"/>
      <c r="E93" s="76">
        <f>73963049.55</f>
        <v>73963049.55</v>
      </c>
      <c r="F93" s="77"/>
      <c r="G93" s="78">
        <f>IF($E$90=0,"",100*$E93/$E$90)</f>
        <v>1.1590766165012008</v>
      </c>
      <c r="H93" s="69">
        <f t="shared" si="12"/>
        <v>91.15350019285269</v>
      </c>
    </row>
    <row r="94" spans="2:8" ht="12.75">
      <c r="B94" s="79" t="s">
        <v>33</v>
      </c>
      <c r="C94" s="76">
        <f>2747579196.83</f>
        <v>2747579196.83</v>
      </c>
      <c r="D94" s="77"/>
      <c r="E94" s="76">
        <f>1776349798.38</f>
        <v>1776349798.38</v>
      </c>
      <c r="F94" s="77"/>
      <c r="G94" s="78">
        <f>IF($E$90=0,"",100*$E94/$E$90)</f>
        <v>27.837217726359697</v>
      </c>
      <c r="H94" s="69">
        <f t="shared" si="12"/>
        <v>64.65145028137682</v>
      </c>
    </row>
    <row r="95" ht="7.5" customHeight="1"/>
    <row r="96" spans="2:8" ht="12.75">
      <c r="B96" s="82" t="s">
        <v>16</v>
      </c>
      <c r="C96" s="92" t="s">
        <v>17</v>
      </c>
      <c r="D96" s="93"/>
      <c r="E96" s="92" t="s">
        <v>1</v>
      </c>
      <c r="F96" s="93"/>
      <c r="G96" s="19" t="s">
        <v>26</v>
      </c>
      <c r="H96" s="19" t="s">
        <v>27</v>
      </c>
    </row>
    <row r="97" spans="2:8" ht="12.75">
      <c r="B97" s="42"/>
      <c r="C97" s="94" t="s">
        <v>82</v>
      </c>
      <c r="D97" s="95"/>
      <c r="E97" s="95"/>
      <c r="F97" s="96"/>
      <c r="G97" s="97" t="s">
        <v>4</v>
      </c>
      <c r="H97" s="98"/>
    </row>
    <row r="98" spans="2:8" ht="12.75">
      <c r="B98" s="41">
        <v>1</v>
      </c>
      <c r="C98" s="44">
        <v>2</v>
      </c>
      <c r="D98" s="45"/>
      <c r="E98" s="44">
        <v>3</v>
      </c>
      <c r="F98" s="45"/>
      <c r="G98" s="30">
        <v>4</v>
      </c>
      <c r="H98" s="30">
        <v>5</v>
      </c>
    </row>
    <row r="99" spans="2:8" ht="31.5" customHeight="1">
      <c r="B99" s="63" t="s">
        <v>86</v>
      </c>
      <c r="C99" s="53">
        <f>9861387725.2</f>
        <v>9861387725.2</v>
      </c>
      <c r="D99" s="50"/>
      <c r="E99" s="53">
        <f>792484226.99</f>
        <v>792484226.99</v>
      </c>
      <c r="F99" s="47"/>
      <c r="G99" s="39"/>
      <c r="H99" s="37"/>
    </row>
    <row r="100" spans="2:8" ht="47.25" customHeight="1">
      <c r="B100" s="61" t="s">
        <v>87</v>
      </c>
      <c r="C100" s="55">
        <f>149263887.26</f>
        <v>149263887.26</v>
      </c>
      <c r="D100" s="54"/>
      <c r="E100" s="55">
        <f>20430485.01</f>
        <v>20430485.01</v>
      </c>
      <c r="F100" s="54"/>
      <c r="G100" s="58"/>
      <c r="H100" s="59"/>
    </row>
    <row r="101" spans="2:8" ht="12.75">
      <c r="B101" s="61" t="s">
        <v>88</v>
      </c>
      <c r="C101" s="55">
        <f>3244955669.75</f>
        <v>3244955669.75</v>
      </c>
      <c r="D101" s="54"/>
      <c r="E101" s="55">
        <f>371482455.09</f>
        <v>371482455.09</v>
      </c>
      <c r="F101" s="54"/>
      <c r="G101" s="58"/>
      <c r="H101" s="59"/>
    </row>
    <row r="102" spans="2:8" ht="25.5" customHeight="1">
      <c r="B102" s="61" t="s">
        <v>89</v>
      </c>
      <c r="C102" s="55">
        <f>650003.68</f>
        <v>650003.68</v>
      </c>
      <c r="D102" s="54"/>
      <c r="E102" s="55">
        <f>0</f>
        <v>0</v>
      </c>
      <c r="F102" s="54"/>
      <c r="G102" s="58"/>
      <c r="H102" s="59"/>
    </row>
    <row r="103" spans="2:8" ht="33.75">
      <c r="B103" s="61" t="s">
        <v>90</v>
      </c>
      <c r="C103" s="55">
        <f>751302949.52</f>
        <v>751302949.52</v>
      </c>
      <c r="D103" s="54"/>
      <c r="E103" s="55">
        <f>61222559.24</f>
        <v>61222559.24</v>
      </c>
      <c r="F103" s="54"/>
      <c r="G103" s="58"/>
      <c r="H103" s="59"/>
    </row>
    <row r="104" spans="2:8" ht="91.5" customHeight="1">
      <c r="B104" s="61" t="s">
        <v>91</v>
      </c>
      <c r="C104" s="55">
        <f>3055953578.59</f>
        <v>3055953578.59</v>
      </c>
      <c r="D104" s="54"/>
      <c r="E104" s="55">
        <f>154248554.83</f>
        <v>154248554.83</v>
      </c>
      <c r="F104" s="54"/>
      <c r="G104" s="58"/>
      <c r="H104" s="59"/>
    </row>
    <row r="105" ht="7.5" customHeight="1"/>
    <row r="106" ht="7.5" customHeight="1"/>
    <row r="107" spans="2:4" ht="12.75">
      <c r="B107" s="81" t="s">
        <v>68</v>
      </c>
      <c r="C107" s="33">
        <f>4</f>
        <v>4</v>
      </c>
      <c r="D107" s="33" t="str">
        <f>IF(C107=1,"I Kwartał",IF(C107=2,"II Kwartały",IF(C107=3,"III Kwartały",IF(C107=4,"IV Kwartały","-"))))</f>
        <v>IV Kwartały</v>
      </c>
    </row>
    <row r="108" spans="2:3" ht="12.75">
      <c r="B108" s="81" t="s">
        <v>69</v>
      </c>
      <c r="C108" s="33">
        <f>2021</f>
        <v>2021</v>
      </c>
    </row>
    <row r="109" spans="2:3" ht="12.75">
      <c r="B109" s="81" t="s">
        <v>70</v>
      </c>
      <c r="C109" s="34" t="str">
        <f>"Mar 21 2022 12:00AM"</f>
        <v>Mar 21 2022 12:00AM</v>
      </c>
    </row>
    <row r="110" spans="2:3" ht="12.75">
      <c r="B110" s="81" t="s">
        <v>74</v>
      </c>
      <c r="C110" s="34">
        <f>""</f>
      </c>
    </row>
  </sheetData>
  <sheetProtection/>
  <mergeCells count="38">
    <mergeCell ref="I64:J64"/>
    <mergeCell ref="I67:J67"/>
    <mergeCell ref="C78:D78"/>
    <mergeCell ref="E78:F78"/>
    <mergeCell ref="C79:F79"/>
    <mergeCell ref="G79:H79"/>
    <mergeCell ref="I65:J65"/>
    <mergeCell ref="I66:J66"/>
    <mergeCell ref="I60:J60"/>
    <mergeCell ref="B1:M1"/>
    <mergeCell ref="I54:J56"/>
    <mergeCell ref="D54:D56"/>
    <mergeCell ref="E54:E56"/>
    <mergeCell ref="F55:F56"/>
    <mergeCell ref="F54:H54"/>
    <mergeCell ref="B54:B57"/>
    <mergeCell ref="K54:K56"/>
    <mergeCell ref="K57:L57"/>
    <mergeCell ref="I58:J58"/>
    <mergeCell ref="I59:J59"/>
    <mergeCell ref="B3:B4"/>
    <mergeCell ref="K4:M4"/>
    <mergeCell ref="C4:J4"/>
    <mergeCell ref="C57:J57"/>
    <mergeCell ref="C54:C56"/>
    <mergeCell ref="B52:M52"/>
    <mergeCell ref="G55:H55"/>
    <mergeCell ref="L54:L56"/>
    <mergeCell ref="I61:J61"/>
    <mergeCell ref="C96:D96"/>
    <mergeCell ref="E96:F96"/>
    <mergeCell ref="C97:F97"/>
    <mergeCell ref="G97:H97"/>
    <mergeCell ref="I68:J68"/>
    <mergeCell ref="I69:J69"/>
    <mergeCell ref="B76:M76"/>
    <mergeCell ref="I62:J62"/>
    <mergeCell ref="I63:J63"/>
  </mergeCells>
  <printOptions/>
  <pageMargins left="0.1968503937007874" right="0.1968503937007874" top="0.35433070866141736" bottom="0.3937007874015748" header="0.31496062992125984" footer="0.1968503937007874"/>
  <pageSetup firstPageNumber="1" useFirstPageNumber="1" horizontalDpi="600" verticalDpi="600" orientation="landscape" paperSize="9" scale="95" r:id="rId3"/>
  <headerFooter alignWithMargins="0">
    <oddFooter>&amp;RStrona &amp;P z &amp;N</oddFooter>
  </headerFooter>
  <rowBreaks count="4" manualBreakCount="4">
    <brk id="21" max="255" man="1"/>
    <brk id="51" max="255" man="1"/>
    <brk id="75" max="255" man="1"/>
    <brk id="95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Karolak</dc:creator>
  <cp:keywords/>
  <dc:description/>
  <cp:lastModifiedBy>Kołacz Bernard</cp:lastModifiedBy>
  <cp:lastPrinted>2018-03-19T09:08:58Z</cp:lastPrinted>
  <dcterms:created xsi:type="dcterms:W3CDTF">2001-05-17T08:58:03Z</dcterms:created>
  <dcterms:modified xsi:type="dcterms:W3CDTF">2022-04-05T06:56:29Z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MF\HHCY;Kołacz Bernard</vt:lpwstr>
  </property>
  <property fmtid="{D5CDD505-2E9C-101B-9397-08002B2CF9AE}" pid="4" name="MFClassificationDate">
    <vt:lpwstr>2022-04-05T08:56:24.9489859+02:00</vt:lpwstr>
  </property>
  <property fmtid="{D5CDD505-2E9C-101B-9397-08002B2CF9AE}" pid="5" name="MFClassifiedBySID">
    <vt:lpwstr>MF\S-1-5-21-1525952054-1005573771-2909822258-435687</vt:lpwstr>
  </property>
  <property fmtid="{D5CDD505-2E9C-101B-9397-08002B2CF9AE}" pid="6" name="MFGRNItemId">
    <vt:lpwstr>GRN-90d40542-966f-4634-86b4-ad5c1d619cfe</vt:lpwstr>
  </property>
  <property fmtid="{D5CDD505-2E9C-101B-9397-08002B2CF9AE}" pid="7" name="MFHash">
    <vt:lpwstr>FJNuBL4DrqHkL7sDLbjnVxhzJMlJh5q4tQ1EAh358nc=</vt:lpwstr>
  </property>
  <property fmtid="{D5CDD505-2E9C-101B-9397-08002B2CF9AE}" pid="8" name="DLPManualFileClassification">
    <vt:lpwstr>{2755b7d9-e53d-4779-a40c-03797dcf43b3}</vt:lpwstr>
  </property>
  <property fmtid="{D5CDD505-2E9C-101B-9397-08002B2CF9AE}" pid="9" name="MFRefresh">
    <vt:lpwstr>False</vt:lpwstr>
  </property>
</Properties>
</file>