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<sst xmlns="http://schemas.openxmlformats.org/spreadsheetml/2006/main" count="98" uniqueCount="82">
  <si>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</si>
  <si>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</si>
  <si>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</si>
  <si>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</si>
  <si>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</si>
  <si>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</si>
  <si>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</si>
  <si>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</si>
  <si>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kwartał</t>
  </si>
  <si>
    <t>rok</t>
  </si>
  <si>
    <t>stanNa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</si>
  <si>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</si>
  <si>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</si>
  <si>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</si>
  <si>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</si>
  <si>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</si>
  <si>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</si>
  <si>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</si>
  <si>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</si>
  <si>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</si>
  <si>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</si>
  <si>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</si>
  <si>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</si>
  <si>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</si>
  <si>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</si>
  <si>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</si>
  <si>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</si>
  <si>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</si>
  <si>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</si>
  <si>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</si>
  <si>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</si>
  <si>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</si>
  <si>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</si>
  <si>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</si>
  <si>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</si>
  <si>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</si>
  <si>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</si>
  <si>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</si>
  <si>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</si>
  <si>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</si>
  <si>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</si>
  <si>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</si>
  <si>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</si>
  <si>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</si>
  <si>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</si>
  <si>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</si>
  <si>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</si>
  <si>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</si>
  <si>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</si>
  <si>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</si>
  <si>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</si>
  <si>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</si>
  <si>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</si>
  <si>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</si>
  <si>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</si>
  <si>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</si>
  <si>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</si>
  <si>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</si>
  <si>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</si>
  <si>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</si>
  <si>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</si>
  <si>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</si>
  <si>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</si>
  <si>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</si>
  <si>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</si>
  <si>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</si>
  <si>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</si>
  <si>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</si>
  <si>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</si>
  <si>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</si>
  <si>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</si>
  <si>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</si>
  <si>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</si>
  <si>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</si>
  <si>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</si>
  <si>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</si>
  <si>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tytul</t>
  </si>
  <si>
    <t>w złotych</t>
  </si>
  <si>
    <t>E1 papiery wartościowe  (E1.1+E1.2)</t>
  </si>
  <si>
    <t>E2 kredyty i pożyczki (E2.1+E2.2)</t>
  </si>
  <si>
    <t>E4  wymagalne zobowiązania (E4.1+E4.2)</t>
  </si>
  <si>
    <t>N5.2 z tytułu podatków i składek na ubezpieczenia społ.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</si>
</sst>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169" fontId="5" fillId="0" borderId="19" xfId="0" applyNumberFormat="1" applyFont="1" applyBorder="1" applyAlignment="1">
      <alignment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5" fillId="0" borderId="19" xfId="88" applyFont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3" fillId="40" borderId="19" xfId="88" applyFont="1" applyFill="1" applyBorder="1" applyAlignment="1">
      <alignment horizontal="left" vertical="center" wrapText="1"/>
      <protection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4"/>
  <sheetViews>
    <sheetView tabSelected="1" zoomScaleSheetLayoutView="75" workbookViewId="0" topLeftCell="A1">
      <selection activeCell="A6" sqref="A6:A10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2.625" style="2" customWidth="1"/>
    <col min="10" max="10" width="12.875" style="2" customWidth="1"/>
    <col min="11" max="11" width="12.125" style="2" customWidth="1"/>
    <col min="12" max="12" width="11.375" style="2" customWidth="1"/>
    <col min="13" max="13" width="10.00390625" style="2" customWidth="1"/>
    <col min="14" max="14" width="10.25390625" style="2" customWidth="1"/>
    <col min="15" max="15" width="9.125" style="2" customWidth="1"/>
    <col min="16" max="16" width="10.25390625" style="2" customWidth="1"/>
    <col min="17" max="16384" width="9.125" style="2" customWidth="1"/>
  </cols>
  <sheetData>
    <row r="1" spans="1:13" ht="39.75" customHeight="1">
      <c r="A1" s="33" t="str">
        <f>CONCATENATE("Informacja z wykonania budżetów powiatów za   ",$C$91," ",$B$92," roku    ",$B$94,"")</f>
        <v>Informacja z wykonania budżetów powiatów za   IV Kwartały 2021 roku    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3" t="s">
        <v>61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5" spans="2:17" ht="13.5" customHeight="1">
      <c r="B5" s="12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11"/>
      <c r="O5" s="11"/>
      <c r="P5" s="11"/>
      <c r="Q5" s="11"/>
    </row>
    <row r="6" spans="1:17" ht="13.5" customHeight="1">
      <c r="A6" s="76" t="s">
        <v>0</v>
      </c>
      <c r="B6" s="34" t="s">
        <v>62</v>
      </c>
      <c r="C6" s="29" t="s">
        <v>66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29" t="s">
        <v>65</v>
      </c>
      <c r="P6" s="30"/>
      <c r="Q6" s="31"/>
    </row>
    <row r="7" spans="1:17" ht="13.5" customHeight="1">
      <c r="A7" s="77"/>
      <c r="B7" s="35"/>
      <c r="C7" s="36" t="s">
        <v>63</v>
      </c>
      <c r="D7" s="36" t="s">
        <v>74</v>
      </c>
      <c r="E7" s="36" t="s">
        <v>67</v>
      </c>
      <c r="F7" s="36" t="s">
        <v>68</v>
      </c>
      <c r="G7" s="36" t="s">
        <v>27</v>
      </c>
      <c r="H7" s="36" t="s">
        <v>28</v>
      </c>
      <c r="I7" s="73" t="s">
        <v>64</v>
      </c>
      <c r="J7" s="36" t="s">
        <v>16</v>
      </c>
      <c r="K7" s="36" t="s">
        <v>17</v>
      </c>
      <c r="L7" s="36" t="s">
        <v>18</v>
      </c>
      <c r="M7" s="36" t="s">
        <v>19</v>
      </c>
      <c r="N7" s="35" t="s">
        <v>20</v>
      </c>
      <c r="O7" s="32" t="s">
        <v>21</v>
      </c>
      <c r="P7" s="32" t="s">
        <v>22</v>
      </c>
      <c r="Q7" s="32" t="s">
        <v>23</v>
      </c>
    </row>
    <row r="8" spans="1:17" ht="13.5" customHeight="1">
      <c r="A8" s="77"/>
      <c r="B8" s="35"/>
      <c r="C8" s="32"/>
      <c r="D8" s="32"/>
      <c r="E8" s="32"/>
      <c r="F8" s="32"/>
      <c r="G8" s="32"/>
      <c r="H8" s="32"/>
      <c r="I8" s="73"/>
      <c r="J8" s="32"/>
      <c r="K8" s="32"/>
      <c r="L8" s="32"/>
      <c r="M8" s="32"/>
      <c r="N8" s="35"/>
      <c r="O8" s="32"/>
      <c r="P8" s="32"/>
      <c r="Q8" s="32"/>
    </row>
    <row r="9" spans="1:17" ht="11.25" customHeight="1">
      <c r="A9" s="77"/>
      <c r="B9" s="35"/>
      <c r="C9" s="32"/>
      <c r="D9" s="32"/>
      <c r="E9" s="32"/>
      <c r="F9" s="32"/>
      <c r="G9" s="32"/>
      <c r="H9" s="32"/>
      <c r="I9" s="73"/>
      <c r="J9" s="32"/>
      <c r="K9" s="32"/>
      <c r="L9" s="32"/>
      <c r="M9" s="32"/>
      <c r="N9" s="35"/>
      <c r="O9" s="32"/>
      <c r="P9" s="32"/>
      <c r="Q9" s="32"/>
    </row>
    <row r="10" spans="1:17" ht="33.75" customHeight="1">
      <c r="A10" s="78"/>
      <c r="B10" s="36"/>
      <c r="C10" s="32"/>
      <c r="D10" s="32"/>
      <c r="E10" s="32"/>
      <c r="F10" s="32"/>
      <c r="G10" s="32"/>
      <c r="H10" s="32"/>
      <c r="I10" s="74"/>
      <c r="J10" s="32"/>
      <c r="K10" s="32"/>
      <c r="L10" s="32"/>
      <c r="M10" s="32"/>
      <c r="N10" s="36"/>
      <c r="O10" s="32"/>
      <c r="P10" s="32"/>
      <c r="Q10" s="32"/>
    </row>
    <row r="11" spans="1:17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</row>
    <row r="12" spans="1:17" ht="12" customHeight="1">
      <c r="A12" s="13"/>
      <c r="B12" s="82" t="s">
        <v>77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</row>
    <row r="13" spans="1:17" ht="39.75" customHeight="1">
      <c r="A13" s="22" t="s">
        <v>46</v>
      </c>
      <c r="B13" s="23">
        <f>6214149512.75</f>
        <v>6214149512.75</v>
      </c>
      <c r="C13" s="23">
        <f>6214149512.75</f>
        <v>6214149512.75</v>
      </c>
      <c r="D13" s="23">
        <f>265060620.98</f>
        <v>265060620.98</v>
      </c>
      <c r="E13" s="23">
        <f>212284788.4</f>
        <v>212284788.4</v>
      </c>
      <c r="F13" s="23">
        <f>17551163.86</f>
        <v>17551163.86</v>
      </c>
      <c r="G13" s="23">
        <f>35224568.95</f>
        <v>35224568.95</v>
      </c>
      <c r="H13" s="23">
        <f>99.77</f>
        <v>99.77</v>
      </c>
      <c r="I13" s="23">
        <f>0</f>
        <v>0</v>
      </c>
      <c r="J13" s="23">
        <f>5666796768.52</f>
        <v>5666796768.52</v>
      </c>
      <c r="K13" s="23">
        <f>273341244.2</f>
        <v>273341244.2</v>
      </c>
      <c r="L13" s="23">
        <f>6820488.83</f>
        <v>6820488.83</v>
      </c>
      <c r="M13" s="23">
        <f>130390.22</f>
        <v>130390.22</v>
      </c>
      <c r="N13" s="23">
        <f>2000000</f>
        <v>2000000</v>
      </c>
      <c r="O13" s="23">
        <f>0</f>
        <v>0</v>
      </c>
      <c r="P13" s="23">
        <f>0</f>
        <v>0</v>
      </c>
      <c r="Q13" s="23">
        <f>0</f>
        <v>0</v>
      </c>
    </row>
    <row r="14" spans="1:17" ht="24.75" customHeight="1">
      <c r="A14" s="21" t="s">
        <v>78</v>
      </c>
      <c r="B14" s="23">
        <f>74123000</f>
        <v>74123000</v>
      </c>
      <c r="C14" s="23">
        <f>74123000</f>
        <v>74123000</v>
      </c>
      <c r="D14" s="23">
        <f>0</f>
        <v>0</v>
      </c>
      <c r="E14" s="23">
        <f>0</f>
        <v>0</v>
      </c>
      <c r="F14" s="23">
        <f>0</f>
        <v>0</v>
      </c>
      <c r="G14" s="23">
        <f>0</f>
        <v>0</v>
      </c>
      <c r="H14" s="23">
        <f>0</f>
        <v>0</v>
      </c>
      <c r="I14" s="23">
        <f>0</f>
        <v>0</v>
      </c>
      <c r="J14" s="23">
        <f>74123000</f>
        <v>74123000</v>
      </c>
      <c r="K14" s="23">
        <f>0</f>
        <v>0</v>
      </c>
      <c r="L14" s="23">
        <f>0</f>
        <v>0</v>
      </c>
      <c r="M14" s="23">
        <f>0</f>
        <v>0</v>
      </c>
      <c r="N14" s="23">
        <f>0</f>
        <v>0</v>
      </c>
      <c r="O14" s="23">
        <f>0</f>
        <v>0</v>
      </c>
      <c r="P14" s="23">
        <f>0</f>
        <v>0</v>
      </c>
      <c r="Q14" s="23">
        <f>0</f>
        <v>0</v>
      </c>
    </row>
    <row r="15" spans="1:17" ht="21" customHeight="1">
      <c r="A15" s="19" t="s">
        <v>47</v>
      </c>
      <c r="B15" s="24">
        <f>0</f>
        <v>0</v>
      </c>
      <c r="C15" s="24">
        <f>0</f>
        <v>0</v>
      </c>
      <c r="D15" s="24">
        <f>0</f>
        <v>0</v>
      </c>
      <c r="E15" s="24">
        <f>0</f>
        <v>0</v>
      </c>
      <c r="F15" s="24">
        <f>0</f>
        <v>0</v>
      </c>
      <c r="G15" s="24">
        <f>0</f>
        <v>0</v>
      </c>
      <c r="H15" s="24">
        <f>0</f>
        <v>0</v>
      </c>
      <c r="I15" s="24">
        <f>0</f>
        <v>0</v>
      </c>
      <c r="J15" s="24">
        <f>0</f>
        <v>0</v>
      </c>
      <c r="K15" s="24">
        <f>0</f>
        <v>0</v>
      </c>
      <c r="L15" s="24">
        <f>0</f>
        <v>0</v>
      </c>
      <c r="M15" s="24">
        <f>0</f>
        <v>0</v>
      </c>
      <c r="N15" s="24">
        <f>0</f>
        <v>0</v>
      </c>
      <c r="O15" s="24">
        <f>0</f>
        <v>0</v>
      </c>
      <c r="P15" s="24">
        <f>0</f>
        <v>0</v>
      </c>
      <c r="Q15" s="24">
        <f>0</f>
        <v>0</v>
      </c>
    </row>
    <row r="16" spans="1:17" ht="20.25" customHeight="1">
      <c r="A16" s="19" t="s">
        <v>48</v>
      </c>
      <c r="B16" s="24">
        <f>74123000</f>
        <v>74123000</v>
      </c>
      <c r="C16" s="24">
        <f>74123000</f>
        <v>74123000</v>
      </c>
      <c r="D16" s="24">
        <f>0</f>
        <v>0</v>
      </c>
      <c r="E16" s="24">
        <f>0</f>
        <v>0</v>
      </c>
      <c r="F16" s="24">
        <f>0</f>
        <v>0</v>
      </c>
      <c r="G16" s="24">
        <f>0</f>
        <v>0</v>
      </c>
      <c r="H16" s="24">
        <f>0</f>
        <v>0</v>
      </c>
      <c r="I16" s="24">
        <f>0</f>
        <v>0</v>
      </c>
      <c r="J16" s="24">
        <f>74123000</f>
        <v>74123000</v>
      </c>
      <c r="K16" s="24">
        <f>0</f>
        <v>0</v>
      </c>
      <c r="L16" s="24">
        <f>0</f>
        <v>0</v>
      </c>
      <c r="M16" s="24">
        <f>0</f>
        <v>0</v>
      </c>
      <c r="N16" s="24">
        <f>0</f>
        <v>0</v>
      </c>
      <c r="O16" s="24">
        <f>0</f>
        <v>0</v>
      </c>
      <c r="P16" s="24">
        <f>0</f>
        <v>0</v>
      </c>
      <c r="Q16" s="24">
        <f>0</f>
        <v>0</v>
      </c>
    </row>
    <row r="17" spans="1:17" ht="24" customHeight="1">
      <c r="A17" s="22" t="s">
        <v>79</v>
      </c>
      <c r="B17" s="23">
        <f>6137891551.43</f>
        <v>6137891551.43</v>
      </c>
      <c r="C17" s="23">
        <f>6137891551.43</f>
        <v>6137891551.43</v>
      </c>
      <c r="D17" s="23">
        <f>263731056.89</f>
        <v>263731056.89</v>
      </c>
      <c r="E17" s="23">
        <f>212188088.05</f>
        <v>212188088.05</v>
      </c>
      <c r="F17" s="23">
        <f>17551163.86</f>
        <v>17551163.86</v>
      </c>
      <c r="G17" s="23">
        <f>33991804.98</f>
        <v>33991804.98</v>
      </c>
      <c r="H17" s="23">
        <f>0</f>
        <v>0</v>
      </c>
      <c r="I17" s="23">
        <f>0</f>
        <v>0</v>
      </c>
      <c r="J17" s="23">
        <f>5592673768.52</f>
        <v>5592673768.52</v>
      </c>
      <c r="K17" s="23">
        <f>273339228.54</f>
        <v>273339228.54</v>
      </c>
      <c r="L17" s="23">
        <f>6120190.86</f>
        <v>6120190.86</v>
      </c>
      <c r="M17" s="23">
        <f>27306.62</f>
        <v>27306.62</v>
      </c>
      <c r="N17" s="23">
        <f>2000000</f>
        <v>2000000</v>
      </c>
      <c r="O17" s="23">
        <f>0</f>
        <v>0</v>
      </c>
      <c r="P17" s="23">
        <f>0</f>
        <v>0</v>
      </c>
      <c r="Q17" s="23">
        <f>0</f>
        <v>0</v>
      </c>
    </row>
    <row r="18" spans="1:17" ht="23.25" customHeight="1">
      <c r="A18" s="19" t="s">
        <v>49</v>
      </c>
      <c r="B18" s="24">
        <f>2487127.85</f>
        <v>2487127.85</v>
      </c>
      <c r="C18" s="24">
        <f>2487127.85</f>
        <v>2487127.85</v>
      </c>
      <c r="D18" s="24">
        <f>221184</f>
        <v>221184</v>
      </c>
      <c r="E18" s="24">
        <f>0</f>
        <v>0</v>
      </c>
      <c r="F18" s="24">
        <f>221184</f>
        <v>221184</v>
      </c>
      <c r="G18" s="24">
        <f>0</f>
        <v>0</v>
      </c>
      <c r="H18" s="24">
        <f>0</f>
        <v>0</v>
      </c>
      <c r="I18" s="24">
        <f>0</f>
        <v>0</v>
      </c>
      <c r="J18" s="24">
        <f>2200000</f>
        <v>2200000</v>
      </c>
      <c r="K18" s="24">
        <f>64743.85</f>
        <v>64743.85</v>
      </c>
      <c r="L18" s="24">
        <f>1200</f>
        <v>1200</v>
      </c>
      <c r="M18" s="24">
        <f>0</f>
        <v>0</v>
      </c>
      <c r="N18" s="24">
        <f>0</f>
        <v>0</v>
      </c>
      <c r="O18" s="24">
        <f>0</f>
        <v>0</v>
      </c>
      <c r="P18" s="24">
        <f>0</f>
        <v>0</v>
      </c>
      <c r="Q18" s="24">
        <f>0</f>
        <v>0</v>
      </c>
    </row>
    <row r="19" spans="1:17" ht="21.75" customHeight="1">
      <c r="A19" s="19" t="s">
        <v>50</v>
      </c>
      <c r="B19" s="24">
        <f>6135404423.58</f>
        <v>6135404423.58</v>
      </c>
      <c r="C19" s="24">
        <f>6135404423.58</f>
        <v>6135404423.58</v>
      </c>
      <c r="D19" s="24">
        <f>263509872.89</f>
        <v>263509872.89</v>
      </c>
      <c r="E19" s="24">
        <f>212188088.05</f>
        <v>212188088.05</v>
      </c>
      <c r="F19" s="24">
        <f>17329979.86</f>
        <v>17329979.86</v>
      </c>
      <c r="G19" s="24">
        <f>33991804.98</f>
        <v>33991804.98</v>
      </c>
      <c r="H19" s="24">
        <f>0</f>
        <v>0</v>
      </c>
      <c r="I19" s="24">
        <f>0</f>
        <v>0</v>
      </c>
      <c r="J19" s="24">
        <f>5590473768.52</f>
        <v>5590473768.52</v>
      </c>
      <c r="K19" s="24">
        <f>273274484.69</f>
        <v>273274484.69</v>
      </c>
      <c r="L19" s="24">
        <f>6118990.86</f>
        <v>6118990.86</v>
      </c>
      <c r="M19" s="24">
        <f>27306.62</f>
        <v>27306.62</v>
      </c>
      <c r="N19" s="24">
        <f>2000000</f>
        <v>2000000</v>
      </c>
      <c r="O19" s="24">
        <f>0</f>
        <v>0</v>
      </c>
      <c r="P19" s="24">
        <f>0</f>
        <v>0</v>
      </c>
      <c r="Q19" s="24">
        <f>0</f>
        <v>0</v>
      </c>
    </row>
    <row r="20" spans="1:17" ht="21.75" customHeight="1">
      <c r="A20" s="19" t="s">
        <v>51</v>
      </c>
      <c r="B20" s="24">
        <f>0</f>
        <v>0</v>
      </c>
      <c r="C20" s="24">
        <f>0</f>
        <v>0</v>
      </c>
      <c r="D20" s="24">
        <f>0</f>
        <v>0</v>
      </c>
      <c r="E20" s="24">
        <f>0</f>
        <v>0</v>
      </c>
      <c r="F20" s="24">
        <f>0</f>
        <v>0</v>
      </c>
      <c r="G20" s="24">
        <f>0</f>
        <v>0</v>
      </c>
      <c r="H20" s="24">
        <f>0</f>
        <v>0</v>
      </c>
      <c r="I20" s="24">
        <f>0</f>
        <v>0</v>
      </c>
      <c r="J20" s="24">
        <f>0</f>
        <v>0</v>
      </c>
      <c r="K20" s="24">
        <f>0</f>
        <v>0</v>
      </c>
      <c r="L20" s="24">
        <f>0</f>
        <v>0</v>
      </c>
      <c r="M20" s="24">
        <f>0</f>
        <v>0</v>
      </c>
      <c r="N20" s="24">
        <f>0</f>
        <v>0</v>
      </c>
      <c r="O20" s="24">
        <f>0</f>
        <v>0</v>
      </c>
      <c r="P20" s="24">
        <f>0</f>
        <v>0</v>
      </c>
      <c r="Q20" s="24">
        <f>0</f>
        <v>0</v>
      </c>
    </row>
    <row r="21" spans="1:17" ht="24.75" customHeight="1">
      <c r="A21" s="22" t="s">
        <v>80</v>
      </c>
      <c r="B21" s="23">
        <f>2134961.32</f>
        <v>2134961.32</v>
      </c>
      <c r="C21" s="23">
        <f>2134961.32</f>
        <v>2134961.32</v>
      </c>
      <c r="D21" s="23">
        <f>1329564.09</f>
        <v>1329564.09</v>
      </c>
      <c r="E21" s="23">
        <f>96700.35</f>
        <v>96700.35</v>
      </c>
      <c r="F21" s="23">
        <f>0</f>
        <v>0</v>
      </c>
      <c r="G21" s="23">
        <f>1232763.97</f>
        <v>1232763.97</v>
      </c>
      <c r="H21" s="23">
        <f>99.77</f>
        <v>99.77</v>
      </c>
      <c r="I21" s="23">
        <f>0</f>
        <v>0</v>
      </c>
      <c r="J21" s="23">
        <f>0</f>
        <v>0</v>
      </c>
      <c r="K21" s="23">
        <f>2015.66</f>
        <v>2015.66</v>
      </c>
      <c r="L21" s="23">
        <f>700297.97</f>
        <v>700297.97</v>
      </c>
      <c r="M21" s="23">
        <f>103083.6</f>
        <v>103083.6</v>
      </c>
      <c r="N21" s="23">
        <f>0</f>
        <v>0</v>
      </c>
      <c r="O21" s="23">
        <f>0</f>
        <v>0</v>
      </c>
      <c r="P21" s="23">
        <f>0</f>
        <v>0</v>
      </c>
      <c r="Q21" s="23">
        <f>0</f>
        <v>0</v>
      </c>
    </row>
    <row r="22" spans="1:17" ht="22.5">
      <c r="A22" s="19" t="s">
        <v>52</v>
      </c>
      <c r="B22" s="24">
        <f>114638.43</f>
        <v>114638.43</v>
      </c>
      <c r="C22" s="24">
        <f>114638.43</f>
        <v>114638.43</v>
      </c>
      <c r="D22" s="24">
        <f>0</f>
        <v>0</v>
      </c>
      <c r="E22" s="24">
        <f>0</f>
        <v>0</v>
      </c>
      <c r="F22" s="24">
        <f>0</f>
        <v>0</v>
      </c>
      <c r="G22" s="24">
        <f>0</f>
        <v>0</v>
      </c>
      <c r="H22" s="24">
        <f>0</f>
        <v>0</v>
      </c>
      <c r="I22" s="24">
        <f>0</f>
        <v>0</v>
      </c>
      <c r="J22" s="24">
        <f>0</f>
        <v>0</v>
      </c>
      <c r="K22" s="24">
        <f>0</f>
        <v>0</v>
      </c>
      <c r="L22" s="24">
        <f>86416.27</f>
        <v>86416.27</v>
      </c>
      <c r="M22" s="24">
        <f>28222.16</f>
        <v>28222.16</v>
      </c>
      <c r="N22" s="24">
        <f>0</f>
        <v>0</v>
      </c>
      <c r="O22" s="24">
        <f>0</f>
        <v>0</v>
      </c>
      <c r="P22" s="24">
        <f>0</f>
        <v>0</v>
      </c>
      <c r="Q22" s="24">
        <f>0</f>
        <v>0</v>
      </c>
    </row>
    <row r="23" spans="1:17" ht="23.25" customHeight="1">
      <c r="A23" s="19" t="s">
        <v>53</v>
      </c>
      <c r="B23" s="24">
        <f>2020322.89</f>
        <v>2020322.89</v>
      </c>
      <c r="C23" s="24">
        <f>2020322.89</f>
        <v>2020322.89</v>
      </c>
      <c r="D23" s="24">
        <f>1329564.09</f>
        <v>1329564.09</v>
      </c>
      <c r="E23" s="24">
        <f>96700.35</f>
        <v>96700.35</v>
      </c>
      <c r="F23" s="24">
        <f>0</f>
        <v>0</v>
      </c>
      <c r="G23" s="24">
        <f>1232763.97</f>
        <v>1232763.97</v>
      </c>
      <c r="H23" s="24">
        <f>99.77</f>
        <v>99.77</v>
      </c>
      <c r="I23" s="24">
        <f>0</f>
        <v>0</v>
      </c>
      <c r="J23" s="24">
        <f>0</f>
        <v>0</v>
      </c>
      <c r="K23" s="24">
        <f>2015.66</f>
        <v>2015.66</v>
      </c>
      <c r="L23" s="24">
        <f>613881.7</f>
        <v>613881.7</v>
      </c>
      <c r="M23" s="24">
        <f>74861.44</f>
        <v>74861.44</v>
      </c>
      <c r="N23" s="24">
        <f>0</f>
        <v>0</v>
      </c>
      <c r="O23" s="24">
        <f>0</f>
        <v>0</v>
      </c>
      <c r="P23" s="24">
        <f>0</f>
        <v>0</v>
      </c>
      <c r="Q23" s="24">
        <f>0</f>
        <v>0</v>
      </c>
    </row>
    <row r="24" spans="1:17" ht="19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9.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9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3" ht="45.75" customHeight="1">
      <c r="A27" s="33" t="str">
        <f>CONCATENATE("Informacja z wykonania budżetów powiatów za   ",$C$91," ",$B$92," roku    ",$B$94,"")</f>
        <v>Informacja z wykonania budżetów powiatów za   IV Kwartały 2021 roku    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9" spans="1:13" ht="13.5" customHeight="1">
      <c r="A29" s="43" t="s">
        <v>11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1" spans="1:17" ht="13.5" customHeight="1">
      <c r="A31" s="76" t="s">
        <v>0</v>
      </c>
      <c r="B31" s="34" t="s">
        <v>12</v>
      </c>
      <c r="C31" s="79" t="s">
        <v>14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79" t="s">
        <v>24</v>
      </c>
      <c r="P31" s="80"/>
      <c r="Q31" s="81"/>
    </row>
    <row r="32" spans="1:17" ht="13.5" customHeight="1">
      <c r="A32" s="77"/>
      <c r="B32" s="35"/>
      <c r="C32" s="35" t="s">
        <v>13</v>
      </c>
      <c r="D32" s="32" t="s">
        <v>15</v>
      </c>
      <c r="E32" s="32" t="s">
        <v>25</v>
      </c>
      <c r="F32" s="32" t="s">
        <v>26</v>
      </c>
      <c r="G32" s="32" t="s">
        <v>71</v>
      </c>
      <c r="H32" s="32" t="s">
        <v>28</v>
      </c>
      <c r="I32" s="32" t="s">
        <v>1</v>
      </c>
      <c r="J32" s="32" t="s">
        <v>16</v>
      </c>
      <c r="K32" s="32" t="s">
        <v>17</v>
      </c>
      <c r="L32" s="32" t="s">
        <v>18</v>
      </c>
      <c r="M32" s="32" t="s">
        <v>19</v>
      </c>
      <c r="N32" s="37" t="s">
        <v>20</v>
      </c>
      <c r="O32" s="32" t="s">
        <v>21</v>
      </c>
      <c r="P32" s="32" t="s">
        <v>22</v>
      </c>
      <c r="Q32" s="34" t="s">
        <v>23</v>
      </c>
    </row>
    <row r="33" spans="1:17" ht="13.5" customHeight="1">
      <c r="A33" s="77"/>
      <c r="B33" s="35"/>
      <c r="C33" s="35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7"/>
      <c r="O33" s="32"/>
      <c r="P33" s="32"/>
      <c r="Q33" s="35"/>
    </row>
    <row r="34" spans="1:17" ht="11.25" customHeight="1">
      <c r="A34" s="77"/>
      <c r="B34" s="35"/>
      <c r="C34" s="35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7"/>
      <c r="O34" s="32"/>
      <c r="P34" s="32"/>
      <c r="Q34" s="35"/>
    </row>
    <row r="35" spans="1:17" ht="41.25" customHeight="1">
      <c r="A35" s="78"/>
      <c r="B35" s="36"/>
      <c r="C35" s="36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7"/>
      <c r="O35" s="32"/>
      <c r="P35" s="32"/>
      <c r="Q35" s="36"/>
    </row>
    <row r="36" spans="1:17" ht="15.75" customHeight="1">
      <c r="A36" s="13">
        <v>1</v>
      </c>
      <c r="B36" s="13">
        <v>2</v>
      </c>
      <c r="C36" s="13">
        <v>3</v>
      </c>
      <c r="D36" s="13">
        <v>4</v>
      </c>
      <c r="E36" s="13">
        <v>5</v>
      </c>
      <c r="F36" s="13">
        <v>6</v>
      </c>
      <c r="G36" s="13">
        <v>7</v>
      </c>
      <c r="H36" s="13">
        <v>8</v>
      </c>
      <c r="I36" s="13">
        <v>9</v>
      </c>
      <c r="J36" s="13">
        <v>10</v>
      </c>
      <c r="K36" s="13">
        <v>11</v>
      </c>
      <c r="L36" s="13">
        <v>12</v>
      </c>
      <c r="M36" s="13">
        <v>13</v>
      </c>
      <c r="N36" s="13">
        <v>14</v>
      </c>
      <c r="O36" s="13">
        <v>15</v>
      </c>
      <c r="P36" s="13">
        <v>16</v>
      </c>
      <c r="Q36" s="13">
        <v>17</v>
      </c>
    </row>
    <row r="37" spans="1:17" ht="12" customHeight="1">
      <c r="A37" s="13"/>
      <c r="B37" s="82" t="s">
        <v>77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</row>
    <row r="38" spans="1:17" ht="27.75" customHeight="1" hidden="1">
      <c r="A38" s="14" t="s">
        <v>29</v>
      </c>
      <c r="B38" s="15">
        <f>0</f>
        <v>0</v>
      </c>
      <c r="C38" s="15">
        <f>0</f>
        <v>0</v>
      </c>
      <c r="D38" s="15">
        <f>0</f>
        <v>0</v>
      </c>
      <c r="E38" s="15">
        <f>0</f>
        <v>0</v>
      </c>
      <c r="F38" s="15">
        <f>0</f>
        <v>0</v>
      </c>
      <c r="G38" s="15">
        <f>0</f>
        <v>0</v>
      </c>
      <c r="H38" s="15">
        <f>0</f>
        <v>0</v>
      </c>
      <c r="I38" s="15">
        <f>0</f>
        <v>0</v>
      </c>
      <c r="J38" s="15">
        <f>0</f>
        <v>0</v>
      </c>
      <c r="K38" s="15">
        <f>0</f>
        <v>0</v>
      </c>
      <c r="L38" s="15">
        <f>0</f>
        <v>0</v>
      </c>
      <c r="M38" s="15">
        <f>0</f>
        <v>0</v>
      </c>
      <c r="N38" s="15">
        <f>0</f>
        <v>0</v>
      </c>
      <c r="O38" s="15">
        <f>0</f>
        <v>0</v>
      </c>
      <c r="P38" s="15">
        <f>0</f>
        <v>0</v>
      </c>
      <c r="Q38" s="15">
        <f>0</f>
        <v>0</v>
      </c>
    </row>
    <row r="39" spans="1:17" ht="30" customHeight="1">
      <c r="A39" s="27" t="s">
        <v>41</v>
      </c>
      <c r="B39" s="25">
        <f>1950000</f>
        <v>1950000</v>
      </c>
      <c r="C39" s="25">
        <f>1950000</f>
        <v>1950000</v>
      </c>
      <c r="D39" s="25">
        <f>1950000</f>
        <v>1950000</v>
      </c>
      <c r="E39" s="25">
        <f>50000</f>
        <v>50000</v>
      </c>
      <c r="F39" s="25">
        <f>0</f>
        <v>0</v>
      </c>
      <c r="G39" s="25">
        <f>1900000</f>
        <v>1900000</v>
      </c>
      <c r="H39" s="25">
        <f>0</f>
        <v>0</v>
      </c>
      <c r="I39" s="25">
        <f>0</f>
        <v>0</v>
      </c>
      <c r="J39" s="25">
        <f>0</f>
        <v>0</v>
      </c>
      <c r="K39" s="25">
        <f>0</f>
        <v>0</v>
      </c>
      <c r="L39" s="25">
        <f>0</f>
        <v>0</v>
      </c>
      <c r="M39" s="25">
        <f>0</f>
        <v>0</v>
      </c>
      <c r="N39" s="25">
        <f>0</f>
        <v>0</v>
      </c>
      <c r="O39" s="25">
        <f>0</f>
        <v>0</v>
      </c>
      <c r="P39" s="25">
        <f>0</f>
        <v>0</v>
      </c>
      <c r="Q39" s="25">
        <f>0</f>
        <v>0</v>
      </c>
    </row>
    <row r="40" spans="1:17" ht="25.5" customHeight="1">
      <c r="A40" s="20" t="s">
        <v>30</v>
      </c>
      <c r="B40" s="26">
        <f>0</f>
        <v>0</v>
      </c>
      <c r="C40" s="26">
        <f>0</f>
        <v>0</v>
      </c>
      <c r="D40" s="26">
        <f>0</f>
        <v>0</v>
      </c>
      <c r="E40" s="26">
        <f>0</f>
        <v>0</v>
      </c>
      <c r="F40" s="26">
        <f>0</f>
        <v>0</v>
      </c>
      <c r="G40" s="26">
        <f>0</f>
        <v>0</v>
      </c>
      <c r="H40" s="26">
        <f>0</f>
        <v>0</v>
      </c>
      <c r="I40" s="26">
        <f>0</f>
        <v>0</v>
      </c>
      <c r="J40" s="26">
        <f>0</f>
        <v>0</v>
      </c>
      <c r="K40" s="26">
        <f>0</f>
        <v>0</v>
      </c>
      <c r="L40" s="26">
        <f>0</f>
        <v>0</v>
      </c>
      <c r="M40" s="26">
        <f>0</f>
        <v>0</v>
      </c>
      <c r="N40" s="26">
        <f>0</f>
        <v>0</v>
      </c>
      <c r="O40" s="26">
        <f>0</f>
        <v>0</v>
      </c>
      <c r="P40" s="26">
        <f>0</f>
        <v>0</v>
      </c>
      <c r="Q40" s="26">
        <f>0</f>
        <v>0</v>
      </c>
    </row>
    <row r="41" spans="1:17" ht="25.5" customHeight="1">
      <c r="A41" s="20" t="s">
        <v>31</v>
      </c>
      <c r="B41" s="26">
        <f>1950000</f>
        <v>1950000</v>
      </c>
      <c r="C41" s="26">
        <f>1950000</f>
        <v>1950000</v>
      </c>
      <c r="D41" s="26">
        <f>1950000</f>
        <v>1950000</v>
      </c>
      <c r="E41" s="26">
        <f>50000</f>
        <v>50000</v>
      </c>
      <c r="F41" s="26">
        <f>0</f>
        <v>0</v>
      </c>
      <c r="G41" s="26">
        <f>1900000</f>
        <v>1900000</v>
      </c>
      <c r="H41" s="26">
        <f>0</f>
        <v>0</v>
      </c>
      <c r="I41" s="26">
        <f>0</f>
        <v>0</v>
      </c>
      <c r="J41" s="26">
        <f>0</f>
        <v>0</v>
      </c>
      <c r="K41" s="26">
        <f>0</f>
        <v>0</v>
      </c>
      <c r="L41" s="26">
        <f>0</f>
        <v>0</v>
      </c>
      <c r="M41" s="26">
        <f>0</f>
        <v>0</v>
      </c>
      <c r="N41" s="26">
        <f>0</f>
        <v>0</v>
      </c>
      <c r="O41" s="26">
        <f>0</f>
        <v>0</v>
      </c>
      <c r="P41" s="26">
        <f>0</f>
        <v>0</v>
      </c>
      <c r="Q41" s="26">
        <f>0</f>
        <v>0</v>
      </c>
    </row>
    <row r="42" spans="1:17" ht="30" customHeight="1">
      <c r="A42" s="27" t="s">
        <v>42</v>
      </c>
      <c r="B42" s="25">
        <f>141896822.18</f>
        <v>141896822.18</v>
      </c>
      <c r="C42" s="25">
        <f>141896822.18</f>
        <v>141896822.18</v>
      </c>
      <c r="D42" s="25">
        <f>86204806.42</f>
        <v>86204806.42</v>
      </c>
      <c r="E42" s="25">
        <f>140298.37</f>
        <v>140298.37</v>
      </c>
      <c r="F42" s="25">
        <f>503700.6</f>
        <v>503700.6</v>
      </c>
      <c r="G42" s="25">
        <f>85560807.45</f>
        <v>85560807.45</v>
      </c>
      <c r="H42" s="25">
        <f>0</f>
        <v>0</v>
      </c>
      <c r="I42" s="25">
        <f>0</f>
        <v>0</v>
      </c>
      <c r="J42" s="25">
        <f>0</f>
        <v>0</v>
      </c>
      <c r="K42" s="25">
        <f>1875000</f>
        <v>1875000</v>
      </c>
      <c r="L42" s="25">
        <f>34928604.33</f>
        <v>34928604.33</v>
      </c>
      <c r="M42" s="25">
        <f>17404699.8</f>
        <v>17404699.8</v>
      </c>
      <c r="N42" s="25">
        <f>1483711.63</f>
        <v>1483711.63</v>
      </c>
      <c r="O42" s="25">
        <f>0</f>
        <v>0</v>
      </c>
      <c r="P42" s="25">
        <f>0</f>
        <v>0</v>
      </c>
      <c r="Q42" s="25">
        <f>0</f>
        <v>0</v>
      </c>
    </row>
    <row r="43" spans="1:17" ht="25.5" customHeight="1">
      <c r="A43" s="20" t="s">
        <v>32</v>
      </c>
      <c r="B43" s="26">
        <f>13807470.23</f>
        <v>13807470.23</v>
      </c>
      <c r="C43" s="26">
        <f>13807470.23</f>
        <v>13807470.23</v>
      </c>
      <c r="D43" s="26">
        <f>8512914.05</f>
        <v>8512914.05</v>
      </c>
      <c r="E43" s="26">
        <f>0</f>
        <v>0</v>
      </c>
      <c r="F43" s="26">
        <f>500000</f>
        <v>500000</v>
      </c>
      <c r="G43" s="26">
        <f>8012914.05</f>
        <v>8012914.05</v>
      </c>
      <c r="H43" s="26">
        <f>0</f>
        <v>0</v>
      </c>
      <c r="I43" s="26">
        <f>0</f>
        <v>0</v>
      </c>
      <c r="J43" s="26">
        <f>0</f>
        <v>0</v>
      </c>
      <c r="K43" s="26">
        <f>0</f>
        <v>0</v>
      </c>
      <c r="L43" s="26">
        <f>2348087.85</f>
        <v>2348087.85</v>
      </c>
      <c r="M43" s="26">
        <f>2794831.35</f>
        <v>2794831.35</v>
      </c>
      <c r="N43" s="26">
        <f>151636.98</f>
        <v>151636.98</v>
      </c>
      <c r="O43" s="26">
        <f>0</f>
        <v>0</v>
      </c>
      <c r="P43" s="26">
        <f>0</f>
        <v>0</v>
      </c>
      <c r="Q43" s="26">
        <f>0</f>
        <v>0</v>
      </c>
    </row>
    <row r="44" spans="1:17" ht="25.5" customHeight="1">
      <c r="A44" s="20" t="s">
        <v>33</v>
      </c>
      <c r="B44" s="26">
        <f>128089351.95</f>
        <v>128089351.95</v>
      </c>
      <c r="C44" s="26">
        <f>128089351.95</f>
        <v>128089351.95</v>
      </c>
      <c r="D44" s="26">
        <f>77691892.37</f>
        <v>77691892.37</v>
      </c>
      <c r="E44" s="26">
        <f>140298.37</f>
        <v>140298.37</v>
      </c>
      <c r="F44" s="26">
        <f>3700.6</f>
        <v>3700.6</v>
      </c>
      <c r="G44" s="26">
        <f>77547893.4</f>
        <v>77547893.4</v>
      </c>
      <c r="H44" s="26">
        <f>0</f>
        <v>0</v>
      </c>
      <c r="I44" s="26">
        <f>0</f>
        <v>0</v>
      </c>
      <c r="J44" s="26">
        <f>0</f>
        <v>0</v>
      </c>
      <c r="K44" s="26">
        <f>1875000</f>
        <v>1875000</v>
      </c>
      <c r="L44" s="26">
        <f>32580516.48</f>
        <v>32580516.48</v>
      </c>
      <c r="M44" s="26">
        <f>14609868.45</f>
        <v>14609868.45</v>
      </c>
      <c r="N44" s="26">
        <f>1332074.65</f>
        <v>1332074.65</v>
      </c>
      <c r="O44" s="26">
        <f>0</f>
        <v>0</v>
      </c>
      <c r="P44" s="26">
        <f>0</f>
        <v>0</v>
      </c>
      <c r="Q44" s="26">
        <f>0</f>
        <v>0</v>
      </c>
    </row>
    <row r="45" spans="1:17" ht="30" customHeight="1">
      <c r="A45" s="27" t="s">
        <v>43</v>
      </c>
      <c r="B45" s="25">
        <f>7927429071.09</f>
        <v>7927429071.09</v>
      </c>
      <c r="C45" s="25">
        <f>7927429071.09</f>
        <v>7927429071.09</v>
      </c>
      <c r="D45" s="25">
        <f>1321151.62</f>
        <v>1321151.62</v>
      </c>
      <c r="E45" s="25">
        <f>1116122.18</f>
        <v>1116122.18</v>
      </c>
      <c r="F45" s="25">
        <f>0</f>
        <v>0</v>
      </c>
      <c r="G45" s="25">
        <f>205029.44</f>
        <v>205029.44</v>
      </c>
      <c r="H45" s="25">
        <f>0</f>
        <v>0</v>
      </c>
      <c r="I45" s="25">
        <f>3382240.11</f>
        <v>3382240.11</v>
      </c>
      <c r="J45" s="25">
        <f>7922546123.63</f>
        <v>7922546123.63</v>
      </c>
      <c r="K45" s="25">
        <f>34605.6</f>
        <v>34605.6</v>
      </c>
      <c r="L45" s="25">
        <f>48667.01</f>
        <v>48667.01</v>
      </c>
      <c r="M45" s="25">
        <f>2000</f>
        <v>2000</v>
      </c>
      <c r="N45" s="25">
        <f>94283.12</f>
        <v>94283.12</v>
      </c>
      <c r="O45" s="25">
        <f>0</f>
        <v>0</v>
      </c>
      <c r="P45" s="25">
        <f>0</f>
        <v>0</v>
      </c>
      <c r="Q45" s="25">
        <f>0</f>
        <v>0</v>
      </c>
    </row>
    <row r="46" spans="1:17" ht="25.5" customHeight="1">
      <c r="A46" s="20" t="s">
        <v>34</v>
      </c>
      <c r="B46" s="26">
        <f>202029.05</f>
        <v>202029.05</v>
      </c>
      <c r="C46" s="26">
        <f>202029.05</f>
        <v>202029.05</v>
      </c>
      <c r="D46" s="26">
        <f>202029.05</f>
        <v>202029.05</v>
      </c>
      <c r="E46" s="26">
        <f>0</f>
        <v>0</v>
      </c>
      <c r="F46" s="26">
        <f>0</f>
        <v>0</v>
      </c>
      <c r="G46" s="26">
        <f>202029.05</f>
        <v>202029.05</v>
      </c>
      <c r="H46" s="26">
        <f>0</f>
        <v>0</v>
      </c>
      <c r="I46" s="26">
        <f>0</f>
        <v>0</v>
      </c>
      <c r="J46" s="26">
        <f>0</f>
        <v>0</v>
      </c>
      <c r="K46" s="26">
        <f>0</f>
        <v>0</v>
      </c>
      <c r="L46" s="26">
        <f>0</f>
        <v>0</v>
      </c>
      <c r="M46" s="26">
        <f>0</f>
        <v>0</v>
      </c>
      <c r="N46" s="26">
        <f>0</f>
        <v>0</v>
      </c>
      <c r="O46" s="26">
        <f>0</f>
        <v>0</v>
      </c>
      <c r="P46" s="26">
        <f>0</f>
        <v>0</v>
      </c>
      <c r="Q46" s="26">
        <f>0</f>
        <v>0</v>
      </c>
    </row>
    <row r="47" spans="1:17" ht="25.5" customHeight="1">
      <c r="A47" s="20" t="s">
        <v>35</v>
      </c>
      <c r="B47" s="26">
        <f>7685987689.16</f>
        <v>7685987689.16</v>
      </c>
      <c r="C47" s="26">
        <f>7685987689.16</f>
        <v>7685987689.16</v>
      </c>
      <c r="D47" s="26">
        <f>1098849.84</f>
        <v>1098849.84</v>
      </c>
      <c r="E47" s="26">
        <f>1097586.84</f>
        <v>1097586.84</v>
      </c>
      <c r="F47" s="26">
        <f>0</f>
        <v>0</v>
      </c>
      <c r="G47" s="26">
        <f>1263</f>
        <v>1263</v>
      </c>
      <c r="H47" s="26">
        <f>0</f>
        <v>0</v>
      </c>
      <c r="I47" s="26">
        <f>3382240.11</f>
        <v>3382240.11</v>
      </c>
      <c r="J47" s="26">
        <f>7681357711.17</f>
        <v>7681357711.17</v>
      </c>
      <c r="K47" s="26">
        <f>28565.6</f>
        <v>28565.6</v>
      </c>
      <c r="L47" s="26">
        <f>26039.32</f>
        <v>26039.32</v>
      </c>
      <c r="M47" s="26">
        <f>0</f>
        <v>0</v>
      </c>
      <c r="N47" s="26">
        <f>94283.12</f>
        <v>94283.12</v>
      </c>
      <c r="O47" s="26">
        <f>0</f>
        <v>0</v>
      </c>
      <c r="P47" s="26">
        <f>0</f>
        <v>0</v>
      </c>
      <c r="Q47" s="26">
        <f>0</f>
        <v>0</v>
      </c>
    </row>
    <row r="48" spans="1:17" ht="25.5" customHeight="1">
      <c r="A48" s="20" t="s">
        <v>36</v>
      </c>
      <c r="B48" s="26">
        <f>241239352.88</f>
        <v>241239352.88</v>
      </c>
      <c r="C48" s="26">
        <f>241239352.88</f>
        <v>241239352.88</v>
      </c>
      <c r="D48" s="26">
        <f>20272.73</f>
        <v>20272.73</v>
      </c>
      <c r="E48" s="26">
        <f>18535.34</f>
        <v>18535.34</v>
      </c>
      <c r="F48" s="26">
        <f>0</f>
        <v>0</v>
      </c>
      <c r="G48" s="26">
        <f>1737.39</f>
        <v>1737.39</v>
      </c>
      <c r="H48" s="26">
        <f>0</f>
        <v>0</v>
      </c>
      <c r="I48" s="26">
        <f>0</f>
        <v>0</v>
      </c>
      <c r="J48" s="26">
        <f>241188412.46</f>
        <v>241188412.46</v>
      </c>
      <c r="K48" s="26">
        <f>6040</f>
        <v>6040</v>
      </c>
      <c r="L48" s="26">
        <f>22627.69</f>
        <v>22627.69</v>
      </c>
      <c r="M48" s="26">
        <f>2000</f>
        <v>2000</v>
      </c>
      <c r="N48" s="26">
        <f>0</f>
        <v>0</v>
      </c>
      <c r="O48" s="26">
        <f>0</f>
        <v>0</v>
      </c>
      <c r="P48" s="26">
        <f>0</f>
        <v>0</v>
      </c>
      <c r="Q48" s="26">
        <f>0</f>
        <v>0</v>
      </c>
    </row>
    <row r="49" spans="1:17" ht="30" customHeight="1">
      <c r="A49" s="27" t="s">
        <v>44</v>
      </c>
      <c r="B49" s="25">
        <f>642820904.55</f>
        <v>642820904.55</v>
      </c>
      <c r="C49" s="25">
        <f>641931857.46</f>
        <v>641931857.46</v>
      </c>
      <c r="D49" s="25">
        <f>22254063.46</f>
        <v>22254063.46</v>
      </c>
      <c r="E49" s="25">
        <f>6572014.96</f>
        <v>6572014.96</v>
      </c>
      <c r="F49" s="25">
        <f>846029.08</f>
        <v>846029.08</v>
      </c>
      <c r="G49" s="25">
        <f>14320426.37</f>
        <v>14320426.37</v>
      </c>
      <c r="H49" s="25">
        <f>515593.05</f>
        <v>515593.05</v>
      </c>
      <c r="I49" s="25">
        <f>0</f>
        <v>0</v>
      </c>
      <c r="J49" s="25">
        <f>3265828.77</f>
        <v>3265828.77</v>
      </c>
      <c r="K49" s="25">
        <f>413827.68</f>
        <v>413827.68</v>
      </c>
      <c r="L49" s="25">
        <f>159826458.58</f>
        <v>159826458.58</v>
      </c>
      <c r="M49" s="25">
        <f>449997018.7</f>
        <v>449997018.7</v>
      </c>
      <c r="N49" s="25">
        <f>6174660.27</f>
        <v>6174660.27</v>
      </c>
      <c r="O49" s="25">
        <f>889047.09</f>
        <v>889047.09</v>
      </c>
      <c r="P49" s="25">
        <f>194819.09</f>
        <v>194819.09</v>
      </c>
      <c r="Q49" s="25">
        <f>694228</f>
        <v>694228</v>
      </c>
    </row>
    <row r="50" spans="1:17" ht="25.5" customHeight="1">
      <c r="A50" s="20" t="s">
        <v>37</v>
      </c>
      <c r="B50" s="26">
        <f>128802000.36</f>
        <v>128802000.36</v>
      </c>
      <c r="C50" s="26">
        <f>128760622.86</f>
        <v>128760622.86</v>
      </c>
      <c r="D50" s="26">
        <f>2148502.9</f>
        <v>2148502.9</v>
      </c>
      <c r="E50" s="26">
        <f>307289.91</f>
        <v>307289.91</v>
      </c>
      <c r="F50" s="26">
        <f>3101.5</f>
        <v>3101.5</v>
      </c>
      <c r="G50" s="26">
        <f>1325636.04</f>
        <v>1325636.04</v>
      </c>
      <c r="H50" s="26">
        <f>512475.45</f>
        <v>512475.45</v>
      </c>
      <c r="I50" s="26">
        <f>0</f>
        <v>0</v>
      </c>
      <c r="J50" s="26">
        <f>200.46</f>
        <v>200.46</v>
      </c>
      <c r="K50" s="26">
        <f>199550.51</f>
        <v>199550.51</v>
      </c>
      <c r="L50" s="26">
        <f>63581169.47</f>
        <v>63581169.47</v>
      </c>
      <c r="M50" s="26">
        <f>62106842.69</f>
        <v>62106842.69</v>
      </c>
      <c r="N50" s="26">
        <f>724356.83</f>
        <v>724356.83</v>
      </c>
      <c r="O50" s="26">
        <f>41377.5</f>
        <v>41377.5</v>
      </c>
      <c r="P50" s="26">
        <f>41377.5</f>
        <v>41377.5</v>
      </c>
      <c r="Q50" s="26">
        <f>0</f>
        <v>0</v>
      </c>
    </row>
    <row r="51" spans="1:17" ht="25.5" customHeight="1">
      <c r="A51" s="20" t="s">
        <v>38</v>
      </c>
      <c r="B51" s="26">
        <f>514018904.19</f>
        <v>514018904.19</v>
      </c>
      <c r="C51" s="26">
        <f>513171234.6</f>
        <v>513171234.6</v>
      </c>
      <c r="D51" s="26">
        <f>20105560.56</f>
        <v>20105560.56</v>
      </c>
      <c r="E51" s="26">
        <f>6264725.05</f>
        <v>6264725.05</v>
      </c>
      <c r="F51" s="26">
        <f>842927.58</f>
        <v>842927.58</v>
      </c>
      <c r="G51" s="26">
        <f>12994790.33</f>
        <v>12994790.33</v>
      </c>
      <c r="H51" s="26">
        <f>3117.6</f>
        <v>3117.6</v>
      </c>
      <c r="I51" s="26">
        <f>0</f>
        <v>0</v>
      </c>
      <c r="J51" s="26">
        <f>3265628.31</f>
        <v>3265628.31</v>
      </c>
      <c r="K51" s="26">
        <f>214277.17</f>
        <v>214277.17</v>
      </c>
      <c r="L51" s="26">
        <f>96245289.11</f>
        <v>96245289.11</v>
      </c>
      <c r="M51" s="26">
        <f>387890176.01</f>
        <v>387890176.01</v>
      </c>
      <c r="N51" s="26">
        <f>5450303.44</f>
        <v>5450303.44</v>
      </c>
      <c r="O51" s="26">
        <f>847669.59</f>
        <v>847669.59</v>
      </c>
      <c r="P51" s="26">
        <f>153441.59</f>
        <v>153441.59</v>
      </c>
      <c r="Q51" s="26">
        <f>694228</f>
        <v>694228</v>
      </c>
    </row>
    <row r="52" spans="1:17" ht="30" customHeight="1">
      <c r="A52" s="27" t="s">
        <v>45</v>
      </c>
      <c r="B52" s="25">
        <f>539144562.41</f>
        <v>539144562.41</v>
      </c>
      <c r="C52" s="25">
        <f>539129502.23</f>
        <v>539129502.23</v>
      </c>
      <c r="D52" s="25">
        <f>185964807.42</f>
        <v>185964807.42</v>
      </c>
      <c r="E52" s="25">
        <f>49669642.59</f>
        <v>49669642.59</v>
      </c>
      <c r="F52" s="25">
        <f>5220639.01</f>
        <v>5220639.01</v>
      </c>
      <c r="G52" s="25">
        <f>128582322.57</f>
        <v>128582322.57</v>
      </c>
      <c r="H52" s="25">
        <f>2492203.25</f>
        <v>2492203.25</v>
      </c>
      <c r="I52" s="25">
        <f>0</f>
        <v>0</v>
      </c>
      <c r="J52" s="25">
        <f>497392.56</f>
        <v>497392.56</v>
      </c>
      <c r="K52" s="25">
        <f>6906423.59</f>
        <v>6906423.59</v>
      </c>
      <c r="L52" s="25">
        <f>272621378.78</f>
        <v>272621378.78</v>
      </c>
      <c r="M52" s="25">
        <f>69276044.62</f>
        <v>69276044.62</v>
      </c>
      <c r="N52" s="25">
        <f>3863455.26</f>
        <v>3863455.26</v>
      </c>
      <c r="O52" s="25">
        <f>15060.18</f>
        <v>15060.18</v>
      </c>
      <c r="P52" s="25">
        <f>15060.18</f>
        <v>15060.18</v>
      </c>
      <c r="Q52" s="25">
        <f>0</f>
        <v>0</v>
      </c>
    </row>
    <row r="53" spans="1:17" ht="31.5" customHeight="1">
      <c r="A53" s="20" t="s">
        <v>39</v>
      </c>
      <c r="B53" s="26">
        <f>39573784.51</f>
        <v>39573784.51</v>
      </c>
      <c r="C53" s="26">
        <f>39558724.33</f>
        <v>39558724.33</v>
      </c>
      <c r="D53" s="26">
        <f>11257497.8</f>
        <v>11257497.8</v>
      </c>
      <c r="E53" s="26">
        <f>309807.83</f>
        <v>309807.83</v>
      </c>
      <c r="F53" s="26">
        <f>500289.26</f>
        <v>500289.26</v>
      </c>
      <c r="G53" s="26">
        <f>10402256.36</f>
        <v>10402256.36</v>
      </c>
      <c r="H53" s="26">
        <f>45144.35</f>
        <v>45144.35</v>
      </c>
      <c r="I53" s="26">
        <f>0</f>
        <v>0</v>
      </c>
      <c r="J53" s="26">
        <f>83255.68</f>
        <v>83255.68</v>
      </c>
      <c r="K53" s="26">
        <f>115994.51</f>
        <v>115994.51</v>
      </c>
      <c r="L53" s="26">
        <f>17683943.81</f>
        <v>17683943.81</v>
      </c>
      <c r="M53" s="26">
        <f>9869905.35</f>
        <v>9869905.35</v>
      </c>
      <c r="N53" s="26">
        <f>548127.18</f>
        <v>548127.18</v>
      </c>
      <c r="O53" s="26">
        <f>15060.18</f>
        <v>15060.18</v>
      </c>
      <c r="P53" s="26">
        <f>15060.18</f>
        <v>15060.18</v>
      </c>
      <c r="Q53" s="26">
        <f>0</f>
        <v>0</v>
      </c>
    </row>
    <row r="54" spans="1:17" ht="35.25" customHeight="1">
      <c r="A54" s="20" t="s">
        <v>81</v>
      </c>
      <c r="B54" s="26">
        <f>42439956.8</f>
        <v>42439956.8</v>
      </c>
      <c r="C54" s="26">
        <f>42439956.8</f>
        <v>42439956.8</v>
      </c>
      <c r="D54" s="26">
        <f>42349361.93</f>
        <v>42349361.93</v>
      </c>
      <c r="E54" s="26">
        <f>39658290.12</f>
        <v>39658290.12</v>
      </c>
      <c r="F54" s="26">
        <f>2123855</f>
        <v>2123855</v>
      </c>
      <c r="G54" s="26">
        <f>348829.24</f>
        <v>348829.24</v>
      </c>
      <c r="H54" s="26">
        <f>218387.57</f>
        <v>218387.57</v>
      </c>
      <c r="I54" s="26">
        <f>0</f>
        <v>0</v>
      </c>
      <c r="J54" s="26">
        <f>0</f>
        <v>0</v>
      </c>
      <c r="K54" s="26">
        <f>8095.2</f>
        <v>8095.2</v>
      </c>
      <c r="L54" s="26">
        <f>38086.16</f>
        <v>38086.16</v>
      </c>
      <c r="M54" s="26">
        <f>44253.41</f>
        <v>44253.41</v>
      </c>
      <c r="N54" s="26">
        <f>160.1</f>
        <v>160.1</v>
      </c>
      <c r="O54" s="26">
        <f>0</f>
        <v>0</v>
      </c>
      <c r="P54" s="26">
        <f>0</f>
        <v>0</v>
      </c>
      <c r="Q54" s="26">
        <f>0</f>
        <v>0</v>
      </c>
    </row>
    <row r="55" spans="1:17" ht="31.5" customHeight="1">
      <c r="A55" s="20" t="s">
        <v>40</v>
      </c>
      <c r="B55" s="26">
        <f>457130821.1</f>
        <v>457130821.1</v>
      </c>
      <c r="C55" s="26">
        <f>457130821.1</f>
        <v>457130821.1</v>
      </c>
      <c r="D55" s="26">
        <f>132357947.69</f>
        <v>132357947.69</v>
      </c>
      <c r="E55" s="26">
        <f>9701544.64</f>
        <v>9701544.64</v>
      </c>
      <c r="F55" s="26">
        <f>2596494.75</f>
        <v>2596494.75</v>
      </c>
      <c r="G55" s="26">
        <f>117831236.97</f>
        <v>117831236.97</v>
      </c>
      <c r="H55" s="26">
        <f>2228671.33</f>
        <v>2228671.33</v>
      </c>
      <c r="I55" s="26">
        <f>0</f>
        <v>0</v>
      </c>
      <c r="J55" s="26">
        <f>414136.88</f>
        <v>414136.88</v>
      </c>
      <c r="K55" s="26">
        <f>6782333.88</f>
        <v>6782333.88</v>
      </c>
      <c r="L55" s="26">
        <f>254899348.81</f>
        <v>254899348.81</v>
      </c>
      <c r="M55" s="26">
        <f>59361885.86</f>
        <v>59361885.86</v>
      </c>
      <c r="N55" s="26">
        <f>3315167.98</f>
        <v>3315167.98</v>
      </c>
      <c r="O55" s="26">
        <f>0</f>
        <v>0</v>
      </c>
      <c r="P55" s="26">
        <f>0</f>
        <v>0</v>
      </c>
      <c r="Q55" s="26">
        <f>0</f>
        <v>0</v>
      </c>
    </row>
    <row r="64" spans="1:13" ht="66" customHeight="1">
      <c r="A64" s="33" t="str">
        <f>CONCATENATE("Informacja z wykonania budżetów powiatów za   ",$C$91," ",$B$92," roku    ",$B$94,"")</f>
        <v>Informacja z wykonania budżetów powiatów za   IV Kwartały 2021 roku    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2:13" ht="13.5" customHeight="1">
      <c r="B65" s="43" t="s">
        <v>2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7" spans="2:12" ht="13.5" customHeight="1">
      <c r="B67" s="47" t="s">
        <v>0</v>
      </c>
      <c r="C67" s="48"/>
      <c r="D67" s="48"/>
      <c r="E67" s="49"/>
      <c r="F67" s="69" t="s">
        <v>69</v>
      </c>
      <c r="G67" s="44" t="s">
        <v>75</v>
      </c>
      <c r="H67" s="58"/>
      <c r="I67" s="58"/>
      <c r="J67" s="58"/>
      <c r="K67" s="58"/>
      <c r="L67" s="45"/>
    </row>
    <row r="68" spans="2:12" ht="13.5" customHeight="1">
      <c r="B68" s="50"/>
      <c r="C68" s="51"/>
      <c r="D68" s="51"/>
      <c r="E68" s="52"/>
      <c r="F68" s="70"/>
      <c r="G68" s="72" t="s">
        <v>70</v>
      </c>
      <c r="H68" s="46" t="s">
        <v>67</v>
      </c>
      <c r="I68" s="46" t="s">
        <v>68</v>
      </c>
      <c r="J68" s="46" t="s">
        <v>71</v>
      </c>
      <c r="K68" s="46" t="s">
        <v>72</v>
      </c>
      <c r="L68" s="87" t="s">
        <v>73</v>
      </c>
    </row>
    <row r="69" spans="2:12" ht="13.5" customHeight="1">
      <c r="B69" s="50"/>
      <c r="C69" s="51"/>
      <c r="D69" s="51"/>
      <c r="E69" s="52"/>
      <c r="F69" s="70"/>
      <c r="G69" s="72"/>
      <c r="H69" s="46"/>
      <c r="I69" s="46"/>
      <c r="J69" s="46"/>
      <c r="K69" s="46"/>
      <c r="L69" s="87"/>
    </row>
    <row r="70" spans="2:12" ht="11.25" customHeight="1">
      <c r="B70" s="50"/>
      <c r="C70" s="51"/>
      <c r="D70" s="51"/>
      <c r="E70" s="52"/>
      <c r="F70" s="70"/>
      <c r="G70" s="72"/>
      <c r="H70" s="46"/>
      <c r="I70" s="46"/>
      <c r="J70" s="46"/>
      <c r="K70" s="46"/>
      <c r="L70" s="87"/>
    </row>
    <row r="71" spans="2:12" ht="11.25" customHeight="1">
      <c r="B71" s="53"/>
      <c r="C71" s="54"/>
      <c r="D71" s="54"/>
      <c r="E71" s="55"/>
      <c r="F71" s="71"/>
      <c r="G71" s="72"/>
      <c r="H71" s="46"/>
      <c r="I71" s="46"/>
      <c r="J71" s="46"/>
      <c r="K71" s="46"/>
      <c r="L71" s="87"/>
    </row>
    <row r="72" spans="2:12" ht="11.25" customHeight="1">
      <c r="B72" s="46">
        <v>1</v>
      </c>
      <c r="C72" s="46"/>
      <c r="D72" s="46"/>
      <c r="E72" s="46"/>
      <c r="F72" s="3">
        <v>2</v>
      </c>
      <c r="G72" s="3">
        <v>3</v>
      </c>
      <c r="H72" s="3">
        <v>4</v>
      </c>
      <c r="I72" s="3">
        <v>5</v>
      </c>
      <c r="J72" s="3">
        <v>6</v>
      </c>
      <c r="K72" s="3">
        <v>7</v>
      </c>
      <c r="L72" s="3">
        <v>8</v>
      </c>
    </row>
    <row r="73" spans="2:12" ht="12.75" customHeight="1">
      <c r="B73" s="46"/>
      <c r="C73" s="46"/>
      <c r="D73" s="46"/>
      <c r="E73" s="46"/>
      <c r="F73" s="44" t="s">
        <v>77</v>
      </c>
      <c r="G73" s="85"/>
      <c r="H73" s="85"/>
      <c r="I73" s="85"/>
      <c r="J73" s="85"/>
      <c r="K73" s="85"/>
      <c r="L73" s="86"/>
    </row>
    <row r="74" spans="2:12" ht="33.75" customHeight="1">
      <c r="B74" s="38" t="s">
        <v>54</v>
      </c>
      <c r="C74" s="39"/>
      <c r="D74" s="39"/>
      <c r="E74" s="40"/>
      <c r="F74" s="28">
        <f>553732845.63</f>
        <v>553732845.63</v>
      </c>
      <c r="G74" s="28">
        <f>304512170.75</f>
        <v>304512170.75</v>
      </c>
      <c r="H74" s="28">
        <f>23391031.88</f>
        <v>23391031.88</v>
      </c>
      <c r="I74" s="28">
        <f>35939490</f>
        <v>35939490</v>
      </c>
      <c r="J74" s="28">
        <f>241655593.27</f>
        <v>241655593.27</v>
      </c>
      <c r="K74" s="28">
        <f>3526055.6</f>
        <v>3526055.6</v>
      </c>
      <c r="L74" s="28">
        <f>249220674.88</f>
        <v>249220674.88</v>
      </c>
    </row>
    <row r="75" spans="2:12" ht="33.75" customHeight="1">
      <c r="B75" s="38" t="s">
        <v>55</v>
      </c>
      <c r="C75" s="39"/>
      <c r="D75" s="39"/>
      <c r="E75" s="40"/>
      <c r="F75" s="28">
        <f>6326810.55</f>
        <v>6326810.55</v>
      </c>
      <c r="G75" s="28">
        <f>6326810.55</f>
        <v>6326810.55</v>
      </c>
      <c r="H75" s="28">
        <f>0</f>
        <v>0</v>
      </c>
      <c r="I75" s="28">
        <f>0</f>
        <v>0</v>
      </c>
      <c r="J75" s="28">
        <f>6326810.55</f>
        <v>6326810.55</v>
      </c>
      <c r="K75" s="28">
        <f>0</f>
        <v>0</v>
      </c>
      <c r="L75" s="28">
        <f>0</f>
        <v>0</v>
      </c>
    </row>
    <row r="76" spans="2:12" ht="33.75" customHeight="1">
      <c r="B76" s="38" t="s">
        <v>56</v>
      </c>
      <c r="C76" s="39"/>
      <c r="D76" s="39"/>
      <c r="E76" s="40"/>
      <c r="F76" s="28">
        <f>45393600.86</f>
        <v>45393600.86</v>
      </c>
      <c r="G76" s="28">
        <f>33972787.8</f>
        <v>33972787.8</v>
      </c>
      <c r="H76" s="28">
        <f>0</f>
        <v>0</v>
      </c>
      <c r="I76" s="28">
        <f>4000000</f>
        <v>4000000</v>
      </c>
      <c r="J76" s="28">
        <f>29972787.8</f>
        <v>29972787.8</v>
      </c>
      <c r="K76" s="28">
        <f>0</f>
        <v>0</v>
      </c>
      <c r="L76" s="28">
        <f>11420813.06</f>
        <v>11420813.06</v>
      </c>
    </row>
    <row r="77" spans="2:12" ht="22.5" customHeight="1">
      <c r="B77" s="38" t="s">
        <v>57</v>
      </c>
      <c r="C77" s="39"/>
      <c r="D77" s="39"/>
      <c r="E77" s="40"/>
      <c r="F77" s="28">
        <f>44494383.5</f>
        <v>44494383.5</v>
      </c>
      <c r="G77" s="28">
        <f>19137064.52</f>
        <v>19137064.52</v>
      </c>
      <c r="H77" s="28">
        <f>0</f>
        <v>0</v>
      </c>
      <c r="I77" s="28">
        <f>0</f>
        <v>0</v>
      </c>
      <c r="J77" s="28">
        <f>19137064.52</f>
        <v>19137064.52</v>
      </c>
      <c r="K77" s="28">
        <f>0</f>
        <v>0</v>
      </c>
      <c r="L77" s="28">
        <f>25357318.98</f>
        <v>25357318.98</v>
      </c>
    </row>
    <row r="78" spans="2:12" ht="33.75" customHeight="1">
      <c r="B78" s="38" t="s">
        <v>58</v>
      </c>
      <c r="C78" s="39"/>
      <c r="D78" s="39"/>
      <c r="E78" s="40"/>
      <c r="F78" s="28">
        <f>11418416.57</f>
        <v>11418416.57</v>
      </c>
      <c r="G78" s="28">
        <f>10994069.7</f>
        <v>10994069.7</v>
      </c>
      <c r="H78" s="28">
        <f>0</f>
        <v>0</v>
      </c>
      <c r="I78" s="28">
        <f>0</f>
        <v>0</v>
      </c>
      <c r="J78" s="28">
        <f>10994069.7</f>
        <v>10994069.7</v>
      </c>
      <c r="K78" s="28">
        <f>0</f>
        <v>0</v>
      </c>
      <c r="L78" s="28">
        <f>424346.87</f>
        <v>424346.87</v>
      </c>
    </row>
    <row r="79" spans="2:12" ht="33.75" customHeight="1">
      <c r="B79" s="38" t="s">
        <v>59</v>
      </c>
      <c r="C79" s="39"/>
      <c r="D79" s="39"/>
      <c r="E79" s="40"/>
      <c r="F79" s="28">
        <f>3949732.39</f>
        <v>3949732.39</v>
      </c>
      <c r="G79" s="28">
        <f>1953676.13</f>
        <v>1953676.13</v>
      </c>
      <c r="H79" s="28">
        <f>0</f>
        <v>0</v>
      </c>
      <c r="I79" s="28">
        <f>0</f>
        <v>0</v>
      </c>
      <c r="J79" s="28">
        <f>1953676.13</f>
        <v>1953676.13</v>
      </c>
      <c r="K79" s="28">
        <f>0</f>
        <v>0</v>
      </c>
      <c r="L79" s="28">
        <f>1996056.26</f>
        <v>1996056.26</v>
      </c>
    </row>
    <row r="80" spans="2:12" ht="22.5" customHeight="1">
      <c r="B80" s="38" t="s">
        <v>60</v>
      </c>
      <c r="C80" s="39"/>
      <c r="D80" s="39"/>
      <c r="E80" s="40"/>
      <c r="F80" s="28">
        <f>1553768.46</f>
        <v>1553768.46</v>
      </c>
      <c r="G80" s="28">
        <f>1553768.46</f>
        <v>1553768.46</v>
      </c>
      <c r="H80" s="28">
        <f>0</f>
        <v>0</v>
      </c>
      <c r="I80" s="28">
        <f>0</f>
        <v>0</v>
      </c>
      <c r="J80" s="28">
        <f>1553768.46</f>
        <v>1553768.46</v>
      </c>
      <c r="K80" s="28">
        <f>0</f>
        <v>0</v>
      </c>
      <c r="L80" s="28">
        <f>0</f>
        <v>0</v>
      </c>
    </row>
    <row r="83" spans="1:13" ht="75" customHeight="1">
      <c r="A83" s="33" t="str">
        <f>CONCATENATE("Informacja z wykonania budżetów powiatów za   ",$C$91," ",$B$92," roku    ",$B$94,"")</f>
        <v>Informacja z wykonania budżetów powiatów za   IV Kwartały 2021 roku    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ht="13.5" customHeight="1">
      <c r="B84" s="4"/>
    </row>
    <row r="85" spans="2:11" ht="13.5" customHeight="1">
      <c r="B85" s="5"/>
      <c r="C85" s="44"/>
      <c r="D85" s="58"/>
      <c r="E85" s="58"/>
      <c r="F85" s="45"/>
      <c r="G85" s="44" t="s">
        <v>3</v>
      </c>
      <c r="H85" s="45"/>
      <c r="I85" s="44" t="s">
        <v>4</v>
      </c>
      <c r="J85" s="45"/>
      <c r="K85" s="5"/>
    </row>
    <row r="86" spans="2:11" ht="13.5" customHeight="1">
      <c r="B86" s="6"/>
      <c r="C86" s="59" t="s">
        <v>5</v>
      </c>
      <c r="D86" s="60"/>
      <c r="E86" s="60"/>
      <c r="F86" s="61"/>
      <c r="G86" s="56">
        <f>263</f>
        <v>263</v>
      </c>
      <c r="H86" s="57"/>
      <c r="I86" s="41">
        <f>2025881077.73</f>
        <v>2025881077.73</v>
      </c>
      <c r="J86" s="42"/>
      <c r="K86" s="7"/>
    </row>
    <row r="87" spans="2:11" ht="13.5" customHeight="1">
      <c r="B87" s="6"/>
      <c r="C87" s="62" t="s">
        <v>6</v>
      </c>
      <c r="D87" s="63"/>
      <c r="E87" s="63"/>
      <c r="F87" s="64"/>
      <c r="G87" s="65">
        <f>51</f>
        <v>51</v>
      </c>
      <c r="H87" s="66"/>
      <c r="I87" s="67">
        <f>-145322620.12</f>
        <v>-145322620.12</v>
      </c>
      <c r="J87" s="68"/>
      <c r="K87" s="7"/>
    </row>
    <row r="88" spans="2:11" ht="13.5" customHeight="1">
      <c r="B88" s="6"/>
      <c r="C88" s="59" t="s">
        <v>7</v>
      </c>
      <c r="D88" s="60"/>
      <c r="E88" s="60"/>
      <c r="F88" s="61"/>
      <c r="G88" s="56">
        <f>0</f>
        <v>0</v>
      </c>
      <c r="H88" s="57"/>
      <c r="I88" s="41">
        <f>0</f>
        <v>0</v>
      </c>
      <c r="J88" s="42"/>
      <c r="K88" s="7"/>
    </row>
    <row r="91" spans="1:3" ht="13.5" customHeight="1">
      <c r="A91" s="8" t="s">
        <v>8</v>
      </c>
      <c r="B91" s="8">
        <f>4</f>
        <v>4</v>
      </c>
      <c r="C91" s="8" t="str">
        <f>IF(B91=1,"I Kwartał",IF(B91=2,"II Kwartały",IF(B91=3,"III Kwartały",IF(B91=4,"IV Kwartały","-"))))</f>
        <v>IV Kwartały</v>
      </c>
    </row>
    <row r="92" spans="1:3" ht="13.5" customHeight="1">
      <c r="A92" s="8" t="s">
        <v>9</v>
      </c>
      <c r="B92" s="8">
        <f>2021</f>
        <v>2021</v>
      </c>
      <c r="C92" s="9"/>
    </row>
    <row r="93" spans="1:3" ht="13.5" customHeight="1">
      <c r="A93" s="8" t="s">
        <v>10</v>
      </c>
      <c r="B93" s="10" t="str">
        <f>"Mar 21 2022 12:00AM"</f>
        <v>Mar 21 2022 12:00AM</v>
      </c>
      <c r="C93" s="9"/>
    </row>
    <row r="94" spans="1:2" ht="13.5" customHeight="1">
      <c r="A94" s="16" t="s">
        <v>76</v>
      </c>
      <c r="B94" s="10">
        <f>""</f>
      </c>
    </row>
  </sheetData>
  <sheetProtection/>
  <mergeCells count="79">
    <mergeCell ref="B12:Q12"/>
    <mergeCell ref="B37:Q37"/>
    <mergeCell ref="B72:E72"/>
    <mergeCell ref="F73:L73"/>
    <mergeCell ref="L68:L71"/>
    <mergeCell ref="F32:F35"/>
    <mergeCell ref="G32:G35"/>
    <mergeCell ref="H32:H35"/>
    <mergeCell ref="K32:K35"/>
    <mergeCell ref="I32:I35"/>
    <mergeCell ref="J32:J35"/>
    <mergeCell ref="A31:A35"/>
    <mergeCell ref="C32:C35"/>
    <mergeCell ref="E32:E35"/>
    <mergeCell ref="B31:B35"/>
    <mergeCell ref="K68:K71"/>
    <mergeCell ref="H68:H71"/>
    <mergeCell ref="I68:I71"/>
    <mergeCell ref="J68:J71"/>
    <mergeCell ref="Q7:Q10"/>
    <mergeCell ref="C31:N31"/>
    <mergeCell ref="L7:L10"/>
    <mergeCell ref="M7:M10"/>
    <mergeCell ref="N7:N10"/>
    <mergeCell ref="P7:P10"/>
    <mergeCell ref="A27:M27"/>
    <mergeCell ref="O31:Q31"/>
    <mergeCell ref="A29:M29"/>
    <mergeCell ref="G7:G10"/>
    <mergeCell ref="F7:F10"/>
    <mergeCell ref="I7:I10"/>
    <mergeCell ref="J7:J10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B78:E78"/>
    <mergeCell ref="B75:E75"/>
    <mergeCell ref="M32:M35"/>
    <mergeCell ref="B74:E74"/>
    <mergeCell ref="F67:F71"/>
    <mergeCell ref="G68:G71"/>
    <mergeCell ref="G67:L67"/>
    <mergeCell ref="G88:H88"/>
    <mergeCell ref="I88:J88"/>
    <mergeCell ref="C85:F85"/>
    <mergeCell ref="C86:F86"/>
    <mergeCell ref="C87:F87"/>
    <mergeCell ref="C88:F88"/>
    <mergeCell ref="G86:H86"/>
    <mergeCell ref="G85:H85"/>
    <mergeCell ref="G87:H87"/>
    <mergeCell ref="I87:J87"/>
    <mergeCell ref="B79:E79"/>
    <mergeCell ref="I86:J86"/>
    <mergeCell ref="B65:M65"/>
    <mergeCell ref="I85:J85"/>
    <mergeCell ref="B73:E73"/>
    <mergeCell ref="B67:E71"/>
    <mergeCell ref="B80:E80"/>
    <mergeCell ref="A83:M83"/>
    <mergeCell ref="B76:E76"/>
    <mergeCell ref="B77:E77"/>
    <mergeCell ref="O6:Q6"/>
    <mergeCell ref="O7:O10"/>
    <mergeCell ref="A64:M64"/>
    <mergeCell ref="L32:L35"/>
    <mergeCell ref="P32:P35"/>
    <mergeCell ref="Q32:Q35"/>
    <mergeCell ref="N32:N35"/>
    <mergeCell ref="O32:O35"/>
    <mergeCell ref="D32:D35"/>
    <mergeCell ref="H7:H10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6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Kołacz Bernard</cp:lastModifiedBy>
  <cp:lastPrinted>2009-11-20T13:10:55Z</cp:lastPrinted>
  <dcterms:created xsi:type="dcterms:W3CDTF">2001-05-17T08:58:03Z</dcterms:created>
  <dcterms:modified xsi:type="dcterms:W3CDTF">2022-04-05T07:12:19Z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MF\HHCY;Kołacz Bernard</vt:lpwstr>
  </property>
  <property fmtid="{D5CDD505-2E9C-101B-9397-08002B2CF9AE}" pid="4" name="MFClassificationDate">
    <vt:lpwstr>2022-04-05T09:12:13.6794294+02:00</vt:lpwstr>
  </property>
  <property fmtid="{D5CDD505-2E9C-101B-9397-08002B2CF9AE}" pid="5" name="MFClassifiedBySID">
    <vt:lpwstr>MF\S-1-5-21-1525952054-1005573771-2909822258-435687</vt:lpwstr>
  </property>
  <property fmtid="{D5CDD505-2E9C-101B-9397-08002B2CF9AE}" pid="6" name="MFGRNItemId">
    <vt:lpwstr>GRN-22122ece-78cb-4802-b51b-0237a10616dd</vt:lpwstr>
  </property>
  <property fmtid="{D5CDD505-2E9C-101B-9397-08002B2CF9AE}" pid="7" name="MFHash">
    <vt:lpwstr>5BOpa/4TuPptUQKskhqFvmHKeGHO+o3UEHFxZlkPGRY=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