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<sst xmlns="http://schemas.openxmlformats.org/spreadsheetml/2006/main" count="255" uniqueCount="113">
  <si>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</si>
  <si>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</si>
  <si>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</si>
  <si>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</si>
  <si>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</si>
  <si>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</si>
  <si>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</si>
  <si>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</si>
  <si>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</si>
  <si>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</si>
  <si>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</si>
  <si>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</si>
  <si>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</si>
  <si>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</si>
  <si>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</si>
  <si>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</si>
  <si>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</si>
  <si>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</si>
  <si>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</si>
  <si>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</si>
  <si>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</si>
  <si>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</si>
  <si>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</si>
  <si>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</si>
  <si>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</si>
  <si>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</si>
  <si>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</si>
  <si>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</si>
  <si>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</si>
  <si>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</si>
  <si>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</si>
  <si>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</si>
  <si>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</si>
  <si>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</si>
  <si>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</si>
  <si>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</si>
  <si>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</si>
  <si>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</si>
  <si>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</si>
  <si>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</si>
  <si>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</si>
  <si>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</si>
  <si>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</si>
  <si>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</si>
  <si>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</si>
  <si>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</si>
  <si>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</si>
  <si>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</si>
  <si>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</si>
  <si>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</si>
  <si>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</si>
  <si>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</si>
  <si>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</si>
  <si>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</si>
  <si>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</si>
  <si>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</si>
  <si>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</si>
  <si>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</si>
  <si>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</si>
  <si>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</si>
  <si>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</si>
  <si>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</si>
  <si>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</si>
  <si>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</si>
  <si>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</si>
  <si>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</si>
  <si>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</si>
  <si>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</si>
  <si>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</si>
  <si>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</si>
  <si>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</si>
  <si>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</si>
  <si>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</si>
  <si>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</si>
  <si>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</si>
  <si>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</si>
  <si>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</si>
  <si>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</si>
  <si>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</si>
  <si>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</si>
  <si>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</si>
  <si>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</si>
  <si>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</si>
  <si>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</si>
  <si>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</si>
  <si>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</si>
  <si>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</si>
  <si>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</si>
  <si>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</si>
  <si>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</si>
  <si>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</si>
  <si>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</si>
  <si>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</si>
  <si>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</si>
  <si>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</si>
  <si>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</si>
  <si>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</si>
  <si>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</si>
  <si>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</si>
  <si>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</si>
  <si>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</si>
  <si>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</si>
  <si>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</si>
  <si>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</si>
  <si>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</si>
  <si>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</si>
  <si>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</si>
  <si>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</si>
  <si>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</si>
  <si>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</si>
  <si>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</si>
  <si>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>wydatki na wynagrodzenia i pochodne od wynagrodzeń</t>
  </si>
  <si>
    <t xml:space="preserve">Informacja z wykonania budżetów gmin za III Kwartały 2019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</si>
</sst>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52" applyFont="1" applyFill="1" applyBorder="1" applyAlignment="1">
      <alignment horizontal="left" vertical="top" wrapText="1"/>
      <protection/>
    </xf>
    <xf numFmtId="0" fontId="50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3" fillId="37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4"/>
  <sheetViews>
    <sheetView tabSelected="1" workbookViewId="0" topLeftCell="B1">
      <selection activeCell="B1" sqref="B1:M1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2" t="s">
        <v>112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0.75" customHeight="1"/>
    <row r="3" spans="2:13" ht="63.75" customHeight="1">
      <c r="B3" s="103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03"/>
      <c r="C4" s="105" t="s">
        <v>78</v>
      </c>
      <c r="D4" s="105"/>
      <c r="E4" s="105"/>
      <c r="F4" s="105"/>
      <c r="G4" s="105"/>
      <c r="H4" s="105"/>
      <c r="I4" s="105"/>
      <c r="J4" s="105"/>
      <c r="K4" s="105" t="s">
        <v>4</v>
      </c>
      <c r="L4" s="105"/>
      <c r="M4" s="105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130657408912.74</f>
        <v>130657408912.74</v>
      </c>
      <c r="D6" s="49">
        <f>99372113215.61</f>
        <v>99372113215.61</v>
      </c>
      <c r="E6" s="49">
        <f>96333661607.77</f>
        <v>96333661607.77</v>
      </c>
      <c r="F6" s="49">
        <f>2159691031.8</f>
        <v>2159691031.8</v>
      </c>
      <c r="G6" s="49">
        <f>478374258.36</f>
        <v>478374258.36</v>
      </c>
      <c r="H6" s="49">
        <f>50582903.03</f>
        <v>50582903.03</v>
      </c>
      <c r="I6" s="49">
        <f>99200323.91</f>
        <v>99200323.91</v>
      </c>
      <c r="J6" s="49">
        <f>986957.01</f>
        <v>986957.01</v>
      </c>
      <c r="K6" s="50">
        <f aca="true" t="shared" si="0" ref="K6:K49">IF($D$6=0,"",100*$D6/$D$6)</f>
        <v>100</v>
      </c>
      <c r="L6" s="50">
        <f aca="true" t="shared" si="1" ref="L6:L45">IF(C6=0,"",100*D6/C6)</f>
        <v>76.05547518700298</v>
      </c>
      <c r="M6" s="50"/>
    </row>
    <row r="7" spans="2:13" ht="25.5" customHeight="1">
      <c r="B7" s="82" t="s">
        <v>61</v>
      </c>
      <c r="C7" s="25">
        <f>C6-C22-C40</f>
        <v>57821365677.56999</v>
      </c>
      <c r="D7" s="25">
        <f>D6-D22-D40</f>
        <v>42146481640.95</v>
      </c>
      <c r="E7" s="25">
        <f>E6-E22-E40</f>
        <v>40714387492.66</v>
      </c>
      <c r="F7" s="25">
        <f>F6</f>
        <v>2159691031.8</v>
      </c>
      <c r="G7" s="25">
        <f>G6</f>
        <v>478374258.36</v>
      </c>
      <c r="H7" s="25">
        <f>H6</f>
        <v>50582903.03</v>
      </c>
      <c r="I7" s="25">
        <f>I6</f>
        <v>99200323.91</v>
      </c>
      <c r="J7" s="25">
        <f>J6</f>
        <v>986957.01</v>
      </c>
      <c r="K7" s="33">
        <f t="shared" si="0"/>
        <v>42.412785918624664</v>
      </c>
      <c r="L7" s="33">
        <f t="shared" si="1"/>
        <v>72.8908443221005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992855131.89</f>
        <v>992855131.89</v>
      </c>
      <c r="D8" s="24">
        <f>766344789.25</f>
        <v>766344789.25</v>
      </c>
      <c r="E8" s="24">
        <f>790541943.8</f>
        <v>790541943.8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0.7711869703195743</v>
      </c>
      <c r="L8" s="34">
        <f t="shared" si="1"/>
        <v>77.18596244662454</v>
      </c>
      <c r="M8" s="34">
        <f t="shared" si="2"/>
        <v>1.818288880620134</v>
      </c>
    </row>
    <row r="9" spans="2:13" ht="22.5" customHeight="1">
      <c r="B9" s="32" t="s">
        <v>19</v>
      </c>
      <c r="C9" s="24">
        <f>22974517133.1</f>
        <v>22974517133.1</v>
      </c>
      <c r="D9" s="24">
        <f>16863094414</f>
        <v>16863094414</v>
      </c>
      <c r="E9" s="24">
        <f>15305276571.91</f>
        <v>15305276571.91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16.96964456961054</v>
      </c>
      <c r="L9" s="34">
        <f t="shared" si="1"/>
        <v>73.3991244138267</v>
      </c>
      <c r="M9" s="34">
        <f t="shared" si="2"/>
        <v>40.010681218086845</v>
      </c>
    </row>
    <row r="10" spans="2:13" ht="13.5" customHeight="1">
      <c r="B10" s="32" t="s">
        <v>20</v>
      </c>
      <c r="C10" s="24">
        <f>1530394562.15</f>
        <v>1530394562.15</v>
      </c>
      <c r="D10" s="24">
        <f>1180883885.61</f>
        <v>1180883885.61</v>
      </c>
      <c r="E10" s="24">
        <f>1180221820.51</f>
        <v>1180221820.51</v>
      </c>
      <c r="F10" s="24">
        <f>97817402.66</f>
        <v>97817402.66</v>
      </c>
      <c r="G10" s="24">
        <f>1605027.32</f>
        <v>1605027.32</v>
      </c>
      <c r="H10" s="24">
        <f>5407743.01</f>
        <v>5407743.01</v>
      </c>
      <c r="I10" s="24">
        <f>2668192.95</f>
        <v>2668192.95</v>
      </c>
      <c r="J10" s="24">
        <f>4087.6</f>
        <v>4087.6</v>
      </c>
      <c r="K10" s="34">
        <f t="shared" si="0"/>
        <v>1.1883453490093427</v>
      </c>
      <c r="L10" s="34">
        <f t="shared" si="1"/>
        <v>77.16205446724899</v>
      </c>
      <c r="M10" s="34">
        <f t="shared" si="2"/>
        <v>2.8018563819159694</v>
      </c>
    </row>
    <row r="11" spans="2:13" ht="13.5" customHeight="1">
      <c r="B11" s="32" t="s">
        <v>21</v>
      </c>
      <c r="C11" s="24">
        <f>14087475548.7</f>
        <v>14087475548.7</v>
      </c>
      <c r="D11" s="62">
        <f>10824242584.5</f>
        <v>10824242584.5</v>
      </c>
      <c r="E11" s="24">
        <f>10815877511.02</f>
        <v>10815877511.02</v>
      </c>
      <c r="F11" s="24">
        <f>1497936888.91</f>
        <v>1497936888.91</v>
      </c>
      <c r="G11" s="24">
        <f>470418781.38</f>
        <v>470418781.38</v>
      </c>
      <c r="H11" s="24">
        <f>34548265.73</f>
        <v>34548265.73</v>
      </c>
      <c r="I11" s="24">
        <f>75978146.17</f>
        <v>75978146.17</v>
      </c>
      <c r="J11" s="24">
        <f>846825.41</f>
        <v>846825.41</v>
      </c>
      <c r="K11" s="34">
        <f t="shared" si="0"/>
        <v>10.892636006456245</v>
      </c>
      <c r="L11" s="34">
        <f t="shared" si="1"/>
        <v>76.83592810564889</v>
      </c>
      <c r="M11" s="34">
        <f t="shared" si="2"/>
        <v>25.682434602045273</v>
      </c>
    </row>
    <row r="12" spans="2:13" ht="13.5" customHeight="1">
      <c r="B12" s="32" t="s">
        <v>22</v>
      </c>
      <c r="C12" s="24">
        <f>294192417.99</f>
        <v>294192417.99</v>
      </c>
      <c r="D12" s="62">
        <f>227473731.13</f>
        <v>227473731.13</v>
      </c>
      <c r="E12" s="24">
        <f>227285776.53</f>
        <v>227285776.53</v>
      </c>
      <c r="F12" s="24">
        <f>1350698.66</f>
        <v>1350698.66</v>
      </c>
      <c r="G12" s="24">
        <f>357547.69</f>
        <v>357547.69</v>
      </c>
      <c r="H12" s="24">
        <f>92682.8</f>
        <v>92682.8</v>
      </c>
      <c r="I12" s="24">
        <f>24863.63</f>
        <v>24863.63</v>
      </c>
      <c r="J12" s="24">
        <f>152.85</f>
        <v>152.85</v>
      </c>
      <c r="K12" s="34">
        <f t="shared" si="0"/>
        <v>0.2289110332558239</v>
      </c>
      <c r="L12" s="34">
        <f t="shared" si="1"/>
        <v>77.32141184472407</v>
      </c>
      <c r="M12" s="34">
        <f t="shared" si="2"/>
        <v>0.5397217567717063</v>
      </c>
    </row>
    <row r="13" spans="2:13" ht="22.5" customHeight="1">
      <c r="B13" s="32" t="s">
        <v>23</v>
      </c>
      <c r="C13" s="24">
        <f>805553761.49</f>
        <v>805553761.49</v>
      </c>
      <c r="D13" s="62">
        <f>708008370.02</f>
        <v>708008370.02</v>
      </c>
      <c r="E13" s="24">
        <f>707624631.72</f>
        <v>707624631.72</v>
      </c>
      <c r="F13" s="24">
        <f>552480245.68</f>
        <v>552480245.68</v>
      </c>
      <c r="G13" s="24">
        <f>2747286.74</f>
        <v>2747286.74</v>
      </c>
      <c r="H13" s="24">
        <f>1921692.29</f>
        <v>1921692.29</v>
      </c>
      <c r="I13" s="24">
        <f>6637000.85</f>
        <v>6637000.85</v>
      </c>
      <c r="J13" s="24">
        <f>30863.33</f>
        <v>30863.33</v>
      </c>
      <c r="K13" s="34">
        <f t="shared" si="0"/>
        <v>0.7124819500253735</v>
      </c>
      <c r="L13" s="34">
        <f t="shared" si="1"/>
        <v>87.89088995257445</v>
      </c>
      <c r="M13" s="34">
        <f t="shared" si="2"/>
        <v>1.679875383315724</v>
      </c>
    </row>
    <row r="14" spans="2:13" ht="33" customHeight="1">
      <c r="B14" s="32" t="s">
        <v>46</v>
      </c>
      <c r="C14" s="24">
        <f>38742110.03</f>
        <v>38742110.03</v>
      </c>
      <c r="D14" s="62">
        <f>25613304.89</f>
        <v>25613304.89</v>
      </c>
      <c r="E14" s="24">
        <f>25628302.55</f>
        <v>25628302.55</v>
      </c>
      <c r="F14" s="24">
        <f>0</f>
        <v>0</v>
      </c>
      <c r="G14" s="24">
        <f>0</f>
        <v>0</v>
      </c>
      <c r="H14" s="24">
        <f>78228.29</f>
        <v>78228.29</v>
      </c>
      <c r="I14" s="24">
        <f>65665.2</f>
        <v>65665.2</v>
      </c>
      <c r="J14" s="24">
        <f>0</f>
        <v>0</v>
      </c>
      <c r="K14" s="34">
        <f t="shared" si="0"/>
        <v>0.025775143610387165</v>
      </c>
      <c r="L14" s="34">
        <f t="shared" si="1"/>
        <v>66.11231259775553</v>
      </c>
      <c r="M14" s="34">
        <f t="shared" si="2"/>
        <v>0.060772106929831655</v>
      </c>
    </row>
    <row r="15" spans="2:13" ht="22.5" customHeight="1">
      <c r="B15" s="32" t="s">
        <v>28</v>
      </c>
      <c r="C15" s="24">
        <f>115593568.88</f>
        <v>115593568.88</v>
      </c>
      <c r="D15" s="62">
        <f>108813322.73</f>
        <v>108813322.73</v>
      </c>
      <c r="E15" s="24">
        <f>108082912.66</f>
        <v>108082912.66</v>
      </c>
      <c r="F15" s="24">
        <f>0</f>
        <v>0</v>
      </c>
      <c r="G15" s="24">
        <f>22990</f>
        <v>22990</v>
      </c>
      <c r="H15" s="24">
        <f>2805530.41</f>
        <v>2805530.41</v>
      </c>
      <c r="I15" s="24">
        <f>4342328.74</f>
        <v>4342328.74</v>
      </c>
      <c r="J15" s="24">
        <f>0</f>
        <v>0</v>
      </c>
      <c r="K15" s="34">
        <f t="shared" si="0"/>
        <v>0.10950086418501052</v>
      </c>
      <c r="L15" s="34">
        <f t="shared" si="1"/>
        <v>94.13440884670781</v>
      </c>
      <c r="M15" s="34">
        <f t="shared" si="2"/>
        <v>0.2581789000965522</v>
      </c>
    </row>
    <row r="16" spans="2:13" ht="22.5" customHeight="1">
      <c r="B16" s="32" t="s">
        <v>29</v>
      </c>
      <c r="C16" s="24">
        <f>1034717282.27</f>
        <v>1034717282.27</v>
      </c>
      <c r="D16" s="62">
        <f>968500931</f>
        <v>968500931</v>
      </c>
      <c r="E16" s="24">
        <f>1102040343.12</f>
        <v>1102040343.12</v>
      </c>
      <c r="F16" s="24">
        <f>0</f>
        <v>0</v>
      </c>
      <c r="G16" s="24">
        <f>0</f>
        <v>0</v>
      </c>
      <c r="H16" s="24">
        <f>79024.01</f>
        <v>79024.01</v>
      </c>
      <c r="I16" s="24">
        <f>362094.01</f>
        <v>362094.01</v>
      </c>
      <c r="J16" s="24">
        <f>0</f>
        <v>0</v>
      </c>
      <c r="K16" s="34">
        <f t="shared" si="0"/>
        <v>0.9746204439656233</v>
      </c>
      <c r="L16" s="34">
        <f t="shared" si="1"/>
        <v>93.60053684183836</v>
      </c>
      <c r="M16" s="34">
        <f t="shared" si="2"/>
        <v>2.297940167937989</v>
      </c>
    </row>
    <row r="17" spans="2:13" ht="13.5" customHeight="1">
      <c r="B17" s="32" t="s">
        <v>30</v>
      </c>
      <c r="C17" s="24">
        <f>173631321.53</f>
        <v>173631321.53</v>
      </c>
      <c r="D17" s="62">
        <f>139362566.64</f>
        <v>139362566.64</v>
      </c>
      <c r="E17" s="24">
        <f>139119235.22</f>
        <v>139119235.22</v>
      </c>
      <c r="F17" s="24">
        <f>0</f>
        <v>0</v>
      </c>
      <c r="G17" s="24">
        <f>0</f>
        <v>0</v>
      </c>
      <c r="H17" s="24">
        <f>2755</f>
        <v>2755</v>
      </c>
      <c r="I17" s="24">
        <f>2976</f>
        <v>2976</v>
      </c>
      <c r="J17" s="24">
        <f>0</f>
        <v>0</v>
      </c>
      <c r="K17" s="34">
        <f t="shared" si="0"/>
        <v>0.14024313474910385</v>
      </c>
      <c r="L17" s="34">
        <f t="shared" si="1"/>
        <v>80.26349474966182</v>
      </c>
      <c r="M17" s="34">
        <f t="shared" si="2"/>
        <v>0.33066239746236314</v>
      </c>
    </row>
    <row r="18" spans="2:13" ht="22.5" customHeight="1">
      <c r="B18" s="32" t="s">
        <v>31</v>
      </c>
      <c r="C18" s="24">
        <f>404131763.12</f>
        <v>404131763.12</v>
      </c>
      <c r="D18" s="62">
        <f>378555836.88</f>
        <v>378555836.88</v>
      </c>
      <c r="E18" s="24">
        <f>378566013.86</f>
        <v>378566013.86</v>
      </c>
      <c r="F18" s="24">
        <f>0</f>
        <v>0</v>
      </c>
      <c r="G18" s="24">
        <f>0</f>
        <v>0</v>
      </c>
      <c r="H18" s="24">
        <f>29074</f>
        <v>29074</v>
      </c>
      <c r="I18" s="24">
        <f>38163.8</f>
        <v>38163.8</v>
      </c>
      <c r="J18" s="24">
        <f>0</f>
        <v>0</v>
      </c>
      <c r="K18" s="34">
        <f t="shared" si="0"/>
        <v>0.3809477575048027</v>
      </c>
      <c r="L18" s="34">
        <f t="shared" si="1"/>
        <v>93.67138924133373</v>
      </c>
      <c r="M18" s="34">
        <f t="shared" si="2"/>
        <v>0.898190838573322</v>
      </c>
    </row>
    <row r="19" spans="2:13" ht="13.5" customHeight="1">
      <c r="B19" s="32" t="s">
        <v>32</v>
      </c>
      <c r="C19" s="24">
        <f>120626839</f>
        <v>120626839</v>
      </c>
      <c r="D19" s="62">
        <f>87457083.77</f>
        <v>87457083.77</v>
      </c>
      <c r="E19" s="24">
        <f>87408726.85</f>
        <v>87408726.85</v>
      </c>
      <c r="F19" s="24">
        <f>2064190.91</f>
        <v>2064190.91</v>
      </c>
      <c r="G19" s="24">
        <f>93908.91</f>
        <v>93908.91</v>
      </c>
      <c r="H19" s="24">
        <f>0</f>
        <v>0</v>
      </c>
      <c r="I19" s="24">
        <f>15170</f>
        <v>15170</v>
      </c>
      <c r="J19" s="24">
        <f>0</f>
        <v>0</v>
      </c>
      <c r="K19" s="34">
        <f t="shared" si="0"/>
        <v>0.08800968495078929</v>
      </c>
      <c r="L19" s="34">
        <f t="shared" si="1"/>
        <v>72.50217654298311</v>
      </c>
      <c r="M19" s="34">
        <f t="shared" si="2"/>
        <v>0.20750743683673398</v>
      </c>
    </row>
    <row r="20" spans="2:13" ht="13.5" customHeight="1">
      <c r="B20" s="32" t="s">
        <v>24</v>
      </c>
      <c r="C20" s="24">
        <f>3727726705.84</f>
        <v>3727726705.84</v>
      </c>
      <c r="D20" s="62">
        <f>2208395605.28</f>
        <v>2208395605.28</v>
      </c>
      <c r="E20" s="24">
        <f>2200358651.51</f>
        <v>2200358651.51</v>
      </c>
      <c r="F20" s="24">
        <f>0</f>
        <v>0</v>
      </c>
      <c r="G20" s="24">
        <f>162699.93</f>
        <v>162699.93</v>
      </c>
      <c r="H20" s="24">
        <f>0</f>
        <v>0</v>
      </c>
      <c r="I20" s="24">
        <f>144868.1</f>
        <v>144868.1</v>
      </c>
      <c r="J20" s="24">
        <f>12115.98</f>
        <v>12115.98</v>
      </c>
      <c r="K20" s="34">
        <f t="shared" si="0"/>
        <v>2.22234944374021</v>
      </c>
      <c r="L20" s="34">
        <f t="shared" si="1"/>
        <v>59.24242251504765</v>
      </c>
      <c r="M20" s="34">
        <f t="shared" si="2"/>
        <v>5.239810108216242</v>
      </c>
    </row>
    <row r="21" spans="2:13" ht="13.5" customHeight="1">
      <c r="B21" s="32" t="s">
        <v>25</v>
      </c>
      <c r="C21" s="24">
        <f>C7-C8-C9-C10-C11-C12-C13-C14-C15-C16-C17-C18-C19-C20</f>
        <v>11521207531.579988</v>
      </c>
      <c r="D21" s="24">
        <f aca="true" t="shared" si="3" ref="D21:J21">D7-D8-D9-D10-D11-D12-D13-D14-D15-D16-D17-D18-D19-D20</f>
        <v>7659735215.249998</v>
      </c>
      <c r="E21" s="24">
        <f t="shared" si="3"/>
        <v>7646355051.400003</v>
      </c>
      <c r="F21" s="24">
        <f t="shared" si="3"/>
        <v>8041604.980000105</v>
      </c>
      <c r="G21" s="24">
        <f t="shared" si="3"/>
        <v>2966016.3900000253</v>
      </c>
      <c r="H21" s="24">
        <f t="shared" si="3"/>
        <v>5617907.490000008</v>
      </c>
      <c r="I21" s="24">
        <f t="shared" si="3"/>
        <v>8920854.459999993</v>
      </c>
      <c r="J21" s="24">
        <f t="shared" si="3"/>
        <v>92911.84</v>
      </c>
      <c r="K21" s="34">
        <f t="shared" si="0"/>
        <v>7.7081335672418385</v>
      </c>
      <c r="L21" s="34">
        <f t="shared" si="1"/>
        <v>66.48378821624752</v>
      </c>
      <c r="M21" s="34">
        <f t="shared" si="2"/>
        <v>18.17407982119132</v>
      </c>
    </row>
    <row r="22" spans="2:13" ht="26.25" customHeight="1">
      <c r="B22" s="82" t="s">
        <v>69</v>
      </c>
      <c r="C22" s="49">
        <f>C23+C36+C38</f>
        <v>42887511936.93</v>
      </c>
      <c r="D22" s="49">
        <f>D23+D36+D38</f>
        <v>32630142381.640003</v>
      </c>
      <c r="E22" s="49">
        <f>E23+E36+E38</f>
        <v>32605669239.550003</v>
      </c>
      <c r="F22" s="41" t="s">
        <v>60</v>
      </c>
      <c r="G22" s="41" t="s">
        <v>60</v>
      </c>
      <c r="H22" s="41" t="s">
        <v>60</v>
      </c>
      <c r="I22" s="41" t="s">
        <v>60</v>
      </c>
      <c r="J22" s="41" t="s">
        <v>60</v>
      </c>
      <c r="K22" s="50">
        <f t="shared" si="0"/>
        <v>32.83631727831089</v>
      </c>
      <c r="L22" s="50">
        <f t="shared" si="1"/>
        <v>76.08308551362366</v>
      </c>
      <c r="M22" s="28"/>
    </row>
    <row r="23" spans="2:13" ht="25.5" customHeight="1">
      <c r="B23" s="82" t="s">
        <v>62</v>
      </c>
      <c r="C23" s="49">
        <f>C24+C26+C28+C30+C32+C34</f>
        <v>32777022732.15</v>
      </c>
      <c r="D23" s="49">
        <f>D24+D26+D28+D30+D32+D34</f>
        <v>28257800879.500004</v>
      </c>
      <c r="E23" s="49">
        <f>E24+E26+E28+E30+E32+E34</f>
        <v>28243421798.65</v>
      </c>
      <c r="F23" s="41" t="s">
        <v>60</v>
      </c>
      <c r="G23" s="41" t="s">
        <v>60</v>
      </c>
      <c r="H23" s="41" t="s">
        <v>60</v>
      </c>
      <c r="I23" s="41" t="s">
        <v>60</v>
      </c>
      <c r="J23" s="41" t="s">
        <v>60</v>
      </c>
      <c r="K23" s="50">
        <f t="shared" si="0"/>
        <v>28.436348956561275</v>
      </c>
      <c r="L23" s="50">
        <f t="shared" si="1"/>
        <v>86.2122258950102</v>
      </c>
      <c r="M23" s="28"/>
    </row>
    <row r="24" spans="2:13" ht="22.5" customHeight="1">
      <c r="B24" s="32" t="s">
        <v>9</v>
      </c>
      <c r="C24" s="24">
        <f>27495271597.25</f>
        <v>27495271597.25</v>
      </c>
      <c r="D24" s="24">
        <f>25071648400.95</f>
        <v>25071648400.95</v>
      </c>
      <c r="E24" s="24">
        <f>25059887745.53</f>
        <v>25059887745.53</v>
      </c>
      <c r="F24" s="24" t="s">
        <v>60</v>
      </c>
      <c r="G24" s="24" t="s">
        <v>60</v>
      </c>
      <c r="H24" s="24" t="s">
        <v>60</v>
      </c>
      <c r="I24" s="24" t="s">
        <v>60</v>
      </c>
      <c r="J24" s="24" t="s">
        <v>60</v>
      </c>
      <c r="K24" s="34">
        <f t="shared" si="0"/>
        <v>25.23006464253352</v>
      </c>
      <c r="L24" s="34">
        <f t="shared" si="1"/>
        <v>91.18530912587019</v>
      </c>
      <c r="M24" s="28"/>
    </row>
    <row r="25" spans="2:13" ht="13.5" customHeight="1">
      <c r="B25" s="63" t="s">
        <v>6</v>
      </c>
      <c r="C25" s="24">
        <f>16366212.02</f>
        <v>16366212.02</v>
      </c>
      <c r="D25" s="24">
        <f>3097557.03</f>
        <v>3097557.03</v>
      </c>
      <c r="E25" s="24">
        <f>3097557.03</f>
        <v>3097557.03</v>
      </c>
      <c r="F25" s="24" t="s">
        <v>60</v>
      </c>
      <c r="G25" s="24" t="s">
        <v>60</v>
      </c>
      <c r="H25" s="24" t="s">
        <v>60</v>
      </c>
      <c r="I25" s="24" t="s">
        <v>60</v>
      </c>
      <c r="J25" s="24" t="s">
        <v>60</v>
      </c>
      <c r="K25" s="34">
        <f t="shared" si="0"/>
        <v>0.003117129071492279</v>
      </c>
      <c r="L25" s="34">
        <f t="shared" si="1"/>
        <v>18.926536123415076</v>
      </c>
      <c r="M25" s="28"/>
    </row>
    <row r="26" spans="2:13" ht="13.5" customHeight="1">
      <c r="B26" s="32" t="s">
        <v>7</v>
      </c>
      <c r="C26" s="24">
        <f>3989626914.12</f>
        <v>3989626914.12</v>
      </c>
      <c r="D26" s="24">
        <f>2616367075.99</f>
        <v>2616367075.99</v>
      </c>
      <c r="E26" s="24">
        <f>2615089300.55</f>
        <v>2615089300.55</v>
      </c>
      <c r="F26" s="24" t="s">
        <v>60</v>
      </c>
      <c r="G26" s="24" t="s">
        <v>60</v>
      </c>
      <c r="H26" s="24" t="s">
        <v>60</v>
      </c>
      <c r="I26" s="24" t="s">
        <v>60</v>
      </c>
      <c r="J26" s="24" t="s">
        <v>60</v>
      </c>
      <c r="K26" s="34">
        <f t="shared" si="0"/>
        <v>2.6328986989671908</v>
      </c>
      <c r="L26" s="34">
        <f t="shared" si="1"/>
        <v>65.57924167621316</v>
      </c>
      <c r="M26" s="28"/>
    </row>
    <row r="27" spans="2:13" ht="13.5" customHeight="1">
      <c r="B27" s="63" t="s">
        <v>6</v>
      </c>
      <c r="C27" s="24">
        <f>882214990.73</f>
        <v>882214990.73</v>
      </c>
      <c r="D27" s="24">
        <f>205583587.76</f>
        <v>205583587.76</v>
      </c>
      <c r="E27" s="24">
        <f>205327531.97</f>
        <v>205327531.97</v>
      </c>
      <c r="F27" s="24" t="s">
        <v>60</v>
      </c>
      <c r="G27" s="24" t="s">
        <v>60</v>
      </c>
      <c r="H27" s="24" t="s">
        <v>60</v>
      </c>
      <c r="I27" s="24" t="s">
        <v>60</v>
      </c>
      <c r="J27" s="24" t="s">
        <v>60</v>
      </c>
      <c r="K27" s="34">
        <f t="shared" si="0"/>
        <v>0.20688257611462935</v>
      </c>
      <c r="L27" s="34">
        <f t="shared" si="1"/>
        <v>23.30311657818093</v>
      </c>
      <c r="M27" s="28"/>
    </row>
    <row r="28" spans="2:13" ht="33" customHeight="1">
      <c r="B28" s="32" t="s">
        <v>10</v>
      </c>
      <c r="C28" s="24">
        <f>30655631.57</f>
        <v>30655631.57</v>
      </c>
      <c r="D28" s="24">
        <f>13963643.5</f>
        <v>13963643.5</v>
      </c>
      <c r="E28" s="24">
        <f>13911764.95</f>
        <v>13911764.95</v>
      </c>
      <c r="F28" s="24" t="s">
        <v>60</v>
      </c>
      <c r="G28" s="24" t="s">
        <v>60</v>
      </c>
      <c r="H28" s="24" t="s">
        <v>60</v>
      </c>
      <c r="I28" s="24" t="s">
        <v>60</v>
      </c>
      <c r="J28" s="24" t="s">
        <v>60</v>
      </c>
      <c r="K28" s="34">
        <f t="shared" si="0"/>
        <v>0.014051873355760037</v>
      </c>
      <c r="L28" s="34">
        <f t="shared" si="1"/>
        <v>45.550010829543645</v>
      </c>
      <c r="M28" s="28"/>
    </row>
    <row r="29" spans="2:13" ht="13.5" customHeight="1">
      <c r="B29" s="63" t="s">
        <v>6</v>
      </c>
      <c r="C29" s="24">
        <f>13026070.96</f>
        <v>13026070.96</v>
      </c>
      <c r="D29" s="24">
        <f>2991045.99</f>
        <v>2991045.99</v>
      </c>
      <c r="E29" s="24">
        <f>2991045.99</f>
        <v>2991045.99</v>
      </c>
      <c r="F29" s="24" t="s">
        <v>60</v>
      </c>
      <c r="G29" s="24" t="s">
        <v>60</v>
      </c>
      <c r="H29" s="24" t="s">
        <v>60</v>
      </c>
      <c r="I29" s="24" t="s">
        <v>60</v>
      </c>
      <c r="J29" s="24" t="s">
        <v>60</v>
      </c>
      <c r="K29" s="34">
        <f t="shared" si="0"/>
        <v>0.0030099450371053873</v>
      </c>
      <c r="L29" s="34">
        <f t="shared" si="1"/>
        <v>22.96199674625448</v>
      </c>
      <c r="M29" s="28"/>
    </row>
    <row r="30" spans="2:13" ht="33.75">
      <c r="B30" s="32" t="s">
        <v>11</v>
      </c>
      <c r="C30" s="24">
        <f>639999097.83</f>
        <v>639999097.83</v>
      </c>
      <c r="D30" s="24">
        <f>312907245.97</f>
        <v>312907245.97</v>
      </c>
      <c r="E30" s="24">
        <f>312560081.72</f>
        <v>312560081.72</v>
      </c>
      <c r="F30" s="24" t="s">
        <v>60</v>
      </c>
      <c r="G30" s="24" t="s">
        <v>60</v>
      </c>
      <c r="H30" s="24" t="s">
        <v>60</v>
      </c>
      <c r="I30" s="24" t="s">
        <v>60</v>
      </c>
      <c r="J30" s="24" t="s">
        <v>60</v>
      </c>
      <c r="K30" s="34">
        <f t="shared" si="0"/>
        <v>0.31488436327310243</v>
      </c>
      <c r="L30" s="34">
        <f t="shared" si="1"/>
        <v>48.891826102716806</v>
      </c>
      <c r="M30" s="28"/>
    </row>
    <row r="31" spans="2:13" ht="12.75">
      <c r="B31" s="63" t="s">
        <v>6</v>
      </c>
      <c r="C31" s="24">
        <f>337048587.83</f>
        <v>337048587.83</v>
      </c>
      <c r="D31" s="24">
        <f>95004148.78</f>
        <v>95004148.78</v>
      </c>
      <c r="E31" s="24">
        <f>94944626.15</f>
        <v>94944626.15</v>
      </c>
      <c r="F31" s="24" t="s">
        <v>60</v>
      </c>
      <c r="G31" s="24" t="s">
        <v>60</v>
      </c>
      <c r="H31" s="24" t="s">
        <v>60</v>
      </c>
      <c r="I31" s="24" t="s">
        <v>60</v>
      </c>
      <c r="J31" s="24" t="s">
        <v>60</v>
      </c>
      <c r="K31" s="34">
        <f t="shared" si="0"/>
        <v>0.09560443640145527</v>
      </c>
      <c r="L31" s="34">
        <f t="shared" si="1"/>
        <v>28.187078127714344</v>
      </c>
      <c r="M31" s="28"/>
    </row>
    <row r="32" spans="2:13" ht="45">
      <c r="B32" s="32" t="s">
        <v>79</v>
      </c>
      <c r="C32" s="24">
        <f>300604005.8</f>
        <v>300604005.8</v>
      </c>
      <c r="D32" s="24">
        <f>146346484.33</f>
        <v>146346484.33</v>
      </c>
      <c r="E32" s="24">
        <f>146346195.25</f>
        <v>146346195.25</v>
      </c>
      <c r="F32" s="24" t="s">
        <v>60</v>
      </c>
      <c r="G32" s="24" t="s">
        <v>60</v>
      </c>
      <c r="H32" s="24" t="s">
        <v>60</v>
      </c>
      <c r="I32" s="24" t="s">
        <v>60</v>
      </c>
      <c r="J32" s="24" t="s">
        <v>60</v>
      </c>
      <c r="K32" s="34">
        <f t="shared" si="0"/>
        <v>0.147271180610267</v>
      </c>
      <c r="L32" s="34">
        <f t="shared" si="1"/>
        <v>48.68414309401063</v>
      </c>
      <c r="M32" s="28"/>
    </row>
    <row r="33" spans="2:13" ht="12.75">
      <c r="B33" s="63" t="s">
        <v>6</v>
      </c>
      <c r="C33" s="24">
        <f>248903718.89</f>
        <v>248903718.89</v>
      </c>
      <c r="D33" s="24">
        <f>115467579.67</f>
        <v>115467579.67</v>
      </c>
      <c r="E33" s="24">
        <f>115467579.68</f>
        <v>115467579.68</v>
      </c>
      <c r="F33" s="24" t="s">
        <v>60</v>
      </c>
      <c r="G33" s="24" t="s">
        <v>60</v>
      </c>
      <c r="H33" s="24" t="s">
        <v>60</v>
      </c>
      <c r="I33" s="24" t="s">
        <v>60</v>
      </c>
      <c r="J33" s="24" t="s">
        <v>60</v>
      </c>
      <c r="K33" s="34">
        <f t="shared" si="0"/>
        <v>0.11619716632116626</v>
      </c>
      <c r="L33" s="34">
        <f t="shared" si="1"/>
        <v>46.39045980708288</v>
      </c>
      <c r="M33" s="28"/>
    </row>
    <row r="34" spans="2:13" ht="22.5">
      <c r="B34" s="32" t="s">
        <v>8</v>
      </c>
      <c r="C34" s="24">
        <f>320865485.58</f>
        <v>320865485.58</v>
      </c>
      <c r="D34" s="24">
        <f>96568028.76</f>
        <v>96568028.76</v>
      </c>
      <c r="E34" s="24">
        <f>95626710.65</f>
        <v>95626710.65</v>
      </c>
      <c r="F34" s="24" t="s">
        <v>60</v>
      </c>
      <c r="G34" s="24" t="s">
        <v>60</v>
      </c>
      <c r="H34" s="24" t="s">
        <v>60</v>
      </c>
      <c r="I34" s="24" t="s">
        <v>60</v>
      </c>
      <c r="J34" s="24" t="s">
        <v>60</v>
      </c>
      <c r="K34" s="34">
        <f t="shared" si="0"/>
        <v>0.09717819782142913</v>
      </c>
      <c r="L34" s="34">
        <f t="shared" si="1"/>
        <v>30.096109771807512</v>
      </c>
      <c r="M34" s="28"/>
    </row>
    <row r="35" spans="2:13" ht="12.75">
      <c r="B35" s="31" t="s">
        <v>6</v>
      </c>
      <c r="C35" s="22">
        <f>290564118.49</f>
        <v>290564118.49</v>
      </c>
      <c r="D35" s="22">
        <f>79042418.17</f>
        <v>79042418.17</v>
      </c>
      <c r="E35" s="22">
        <f>78120681.43</f>
        <v>78120681.43</v>
      </c>
      <c r="F35" s="24" t="s">
        <v>60</v>
      </c>
      <c r="G35" s="24" t="s">
        <v>60</v>
      </c>
      <c r="H35" s="24" t="s">
        <v>60</v>
      </c>
      <c r="I35" s="24" t="s">
        <v>60</v>
      </c>
      <c r="J35" s="24" t="s">
        <v>60</v>
      </c>
      <c r="K35" s="34">
        <f t="shared" si="0"/>
        <v>0.07954185094011215</v>
      </c>
      <c r="L35" s="34">
        <f t="shared" si="1"/>
        <v>27.203089831176214</v>
      </c>
      <c r="M35" s="28"/>
    </row>
    <row r="36" spans="2:13" ht="12.75">
      <c r="B36" s="82" t="s">
        <v>107</v>
      </c>
      <c r="C36" s="49">
        <f>1606797689.42</f>
        <v>1606797689.42</v>
      </c>
      <c r="D36" s="49">
        <f>617055544.69</f>
        <v>617055544.69</v>
      </c>
      <c r="E36" s="49">
        <f>616121840.27</f>
        <v>616121840.27</v>
      </c>
      <c r="F36" s="41" t="s">
        <v>60</v>
      </c>
      <c r="G36" s="41" t="s">
        <v>60</v>
      </c>
      <c r="H36" s="41" t="s">
        <v>60</v>
      </c>
      <c r="I36" s="41" t="s">
        <v>60</v>
      </c>
      <c r="J36" s="41" t="s">
        <v>60</v>
      </c>
      <c r="K36" s="50">
        <f t="shared" si="0"/>
        <v>0.6209544355277624</v>
      </c>
      <c r="L36" s="50">
        <f t="shared" si="1"/>
        <v>38.402815037202124</v>
      </c>
      <c r="M36" s="28"/>
    </row>
    <row r="37" spans="2:13" ht="13.5" customHeight="1">
      <c r="B37" s="31" t="s">
        <v>108</v>
      </c>
      <c r="C37" s="22">
        <f>1425655171.22</f>
        <v>1425655171.22</v>
      </c>
      <c r="D37" s="22">
        <f>496278158.83</f>
        <v>496278158.83</v>
      </c>
      <c r="E37" s="22">
        <f>496274633.33</f>
        <v>496274633.33</v>
      </c>
      <c r="F37" s="24" t="s">
        <v>60</v>
      </c>
      <c r="G37" s="24" t="s">
        <v>60</v>
      </c>
      <c r="H37" s="24" t="s">
        <v>60</v>
      </c>
      <c r="I37" s="24" t="s">
        <v>60</v>
      </c>
      <c r="J37" s="24" t="s">
        <v>60</v>
      </c>
      <c r="K37" s="34">
        <f t="shared" si="0"/>
        <v>0.49941391278779956</v>
      </c>
      <c r="L37" s="34">
        <f t="shared" si="1"/>
        <v>34.81053264831996</v>
      </c>
      <c r="M37" s="28"/>
    </row>
    <row r="38" spans="2:13" ht="13.5" customHeight="1">
      <c r="B38" s="82" t="s">
        <v>109</v>
      </c>
      <c r="C38" s="41">
        <f>8503691515.36</f>
        <v>8503691515.36</v>
      </c>
      <c r="D38" s="41">
        <f>3755285957.45</f>
        <v>3755285957.45</v>
      </c>
      <c r="E38" s="41">
        <f>3746125600.63</f>
        <v>3746125600.63</v>
      </c>
      <c r="F38" s="41" t="s">
        <v>60</v>
      </c>
      <c r="G38" s="41" t="s">
        <v>60</v>
      </c>
      <c r="H38" s="41" t="s">
        <v>60</v>
      </c>
      <c r="I38" s="41" t="s">
        <v>60</v>
      </c>
      <c r="J38" s="41" t="s">
        <v>60</v>
      </c>
      <c r="K38" s="64">
        <f t="shared" si="0"/>
        <v>3.77901388622185</v>
      </c>
      <c r="L38" s="64">
        <f t="shared" si="1"/>
        <v>44.16065600059601</v>
      </c>
      <c r="M38" s="28"/>
    </row>
    <row r="39" spans="2:13" ht="13.5" customHeight="1">
      <c r="B39" s="31" t="s">
        <v>110</v>
      </c>
      <c r="C39" s="22">
        <f>7660870909</f>
        <v>7660870909</v>
      </c>
      <c r="D39" s="22">
        <f>3193019227.11</f>
        <v>3193019227.11</v>
      </c>
      <c r="E39" s="22">
        <f>3190796157.2</f>
        <v>3190796157.2</v>
      </c>
      <c r="F39" s="24" t="s">
        <v>60</v>
      </c>
      <c r="G39" s="24" t="s">
        <v>60</v>
      </c>
      <c r="H39" s="24" t="s">
        <v>60</v>
      </c>
      <c r="I39" s="24" t="s">
        <v>60</v>
      </c>
      <c r="J39" s="24" t="s">
        <v>60</v>
      </c>
      <c r="K39" s="34">
        <f t="shared" si="0"/>
        <v>3.213194450420946</v>
      </c>
      <c r="L39" s="34">
        <f t="shared" si="1"/>
        <v>41.679585324415754</v>
      </c>
      <c r="M39" s="28"/>
    </row>
    <row r="40" spans="2:13" s="5" customFormat="1" ht="25.5" customHeight="1">
      <c r="B40" s="82" t="s">
        <v>63</v>
      </c>
      <c r="C40" s="25">
        <f>C41+C42+C43+C44+C45</f>
        <v>29948531298.24</v>
      </c>
      <c r="D40" s="25">
        <f>D41+D42+D43+D44+D45</f>
        <v>24595489193.02</v>
      </c>
      <c r="E40" s="25">
        <f>E41+E42+E43+E44+E45</f>
        <v>23013604875.559998</v>
      </c>
      <c r="F40" s="23" t="s">
        <v>60</v>
      </c>
      <c r="G40" s="23" t="s">
        <v>60</v>
      </c>
      <c r="H40" s="23" t="s">
        <v>60</v>
      </c>
      <c r="I40" s="23" t="s">
        <v>60</v>
      </c>
      <c r="J40" s="23" t="s">
        <v>60</v>
      </c>
      <c r="K40" s="33">
        <f t="shared" si="0"/>
        <v>24.75089680306445</v>
      </c>
      <c r="L40" s="33">
        <f t="shared" si="1"/>
        <v>82.12586102499596</v>
      </c>
      <c r="M40" s="29"/>
    </row>
    <row r="41" spans="2:13" ht="13.5" customHeight="1">
      <c r="B41" s="20" t="s">
        <v>50</v>
      </c>
      <c r="C41" s="22">
        <f>7956604068</f>
        <v>7956604068</v>
      </c>
      <c r="D41" s="22">
        <f>5967406989</f>
        <v>5967406989</v>
      </c>
      <c r="E41" s="22">
        <f>5967031906</f>
        <v>5967031906</v>
      </c>
      <c r="F41" s="24" t="s">
        <v>60</v>
      </c>
      <c r="G41" s="24" t="s">
        <v>60</v>
      </c>
      <c r="H41" s="24" t="s">
        <v>60</v>
      </c>
      <c r="I41" s="24" t="s">
        <v>60</v>
      </c>
      <c r="J41" s="24" t="s">
        <v>60</v>
      </c>
      <c r="K41" s="34">
        <f t="shared" si="0"/>
        <v>6.005112295491168</v>
      </c>
      <c r="L41" s="34">
        <f t="shared" si="1"/>
        <v>74.99942108467876</v>
      </c>
      <c r="M41" s="28"/>
    </row>
    <row r="42" spans="2:13" ht="13.5" customHeight="1">
      <c r="B42" s="32" t="s">
        <v>49</v>
      </c>
      <c r="C42" s="24">
        <f>21654562628.24</f>
        <v>21654562628.24</v>
      </c>
      <c r="D42" s="24">
        <f>18375204017.02</f>
        <v>18375204017.02</v>
      </c>
      <c r="E42" s="24">
        <f>16793694782.56</f>
        <v>16793694782.56</v>
      </c>
      <c r="F42" s="24" t="s">
        <v>60</v>
      </c>
      <c r="G42" s="24" t="s">
        <v>60</v>
      </c>
      <c r="H42" s="24" t="s">
        <v>60</v>
      </c>
      <c r="I42" s="24" t="s">
        <v>60</v>
      </c>
      <c r="J42" s="24" t="s">
        <v>60</v>
      </c>
      <c r="K42" s="34">
        <f t="shared" si="0"/>
        <v>18.491308499348193</v>
      </c>
      <c r="L42" s="34">
        <f t="shared" si="1"/>
        <v>84.85603857478355</v>
      </c>
      <c r="M42" s="28"/>
    </row>
    <row r="43" spans="2:13" ht="13.5" customHeight="1">
      <c r="B43" s="32" t="s">
        <v>48</v>
      </c>
      <c r="C43" s="24">
        <f>95943</f>
        <v>95943</v>
      </c>
      <c r="D43" s="24">
        <f>0</f>
        <v>0</v>
      </c>
      <c r="E43" s="24">
        <f>0</f>
        <v>0</v>
      </c>
      <c r="F43" s="24" t="s">
        <v>60</v>
      </c>
      <c r="G43" s="24" t="s">
        <v>60</v>
      </c>
      <c r="H43" s="24" t="s">
        <v>60</v>
      </c>
      <c r="I43" s="24" t="s">
        <v>60</v>
      </c>
      <c r="J43" s="24" t="s">
        <v>60</v>
      </c>
      <c r="K43" s="34">
        <f t="shared" si="0"/>
        <v>0</v>
      </c>
      <c r="L43" s="34">
        <f t="shared" si="1"/>
        <v>0</v>
      </c>
      <c r="M43" s="28"/>
    </row>
    <row r="44" spans="2:13" ht="13.5" customHeight="1">
      <c r="B44" s="32" t="s">
        <v>47</v>
      </c>
      <c r="C44" s="24">
        <f>334712913</f>
        <v>334712913</v>
      </c>
      <c r="D44" s="24">
        <f>251035164</f>
        <v>251035164</v>
      </c>
      <c r="E44" s="24">
        <f>251035164</f>
        <v>251035164</v>
      </c>
      <c r="F44" s="24" t="s">
        <v>60</v>
      </c>
      <c r="G44" s="24" t="s">
        <v>60</v>
      </c>
      <c r="H44" s="24" t="s">
        <v>60</v>
      </c>
      <c r="I44" s="24" t="s">
        <v>60</v>
      </c>
      <c r="J44" s="24" t="s">
        <v>60</v>
      </c>
      <c r="K44" s="34">
        <f t="shared" si="0"/>
        <v>0.25262134000846204</v>
      </c>
      <c r="L44" s="34">
        <f t="shared" si="1"/>
        <v>75.0001431824054</v>
      </c>
      <c r="M44" s="28"/>
    </row>
    <row r="45" spans="2:13" s="5" customFormat="1" ht="22.5" customHeight="1">
      <c r="B45" s="32" t="s">
        <v>45</v>
      </c>
      <c r="C45" s="24">
        <f>2555746</f>
        <v>2555746</v>
      </c>
      <c r="D45" s="24">
        <f>1843023</f>
        <v>1843023</v>
      </c>
      <c r="E45" s="24">
        <f>1843023</f>
        <v>1843023</v>
      </c>
      <c r="F45" s="24" t="s">
        <v>60</v>
      </c>
      <c r="G45" s="24" t="s">
        <v>60</v>
      </c>
      <c r="H45" s="24" t="s">
        <v>60</v>
      </c>
      <c r="I45" s="24" t="s">
        <v>60</v>
      </c>
      <c r="J45" s="24" t="s">
        <v>60</v>
      </c>
      <c r="K45" s="34">
        <f t="shared" si="0"/>
        <v>0.0018546682166264794</v>
      </c>
      <c r="L45" s="34">
        <f t="shared" si="1"/>
        <v>72.11291732433504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 aca="true" t="shared" si="4" ref="C47:J47">+C6</f>
        <v>130657408912.74</v>
      </c>
      <c r="D47" s="41">
        <f t="shared" si="4"/>
        <v>99372113215.61</v>
      </c>
      <c r="E47" s="41">
        <f t="shared" si="4"/>
        <v>96333661607.77</v>
      </c>
      <c r="F47" s="41">
        <f t="shared" si="4"/>
        <v>2159691031.8</v>
      </c>
      <c r="G47" s="41">
        <f t="shared" si="4"/>
        <v>478374258.36</v>
      </c>
      <c r="H47" s="41">
        <f t="shared" si="4"/>
        <v>50582903.03</v>
      </c>
      <c r="I47" s="41">
        <f t="shared" si="4"/>
        <v>99200323.91</v>
      </c>
      <c r="J47" s="41">
        <f t="shared" si="4"/>
        <v>986957.01</v>
      </c>
      <c r="K47" s="65">
        <f t="shared" si="0"/>
        <v>100</v>
      </c>
      <c r="L47" s="65">
        <f>IF(C47=0,"",100*D47/C47)</f>
        <v>76.05547518700298</v>
      </c>
      <c r="M47" s="65"/>
    </row>
    <row r="48" spans="1:13" s="5" customFormat="1" ht="13.5" customHeight="1">
      <c r="A48" s="2"/>
      <c r="B48" s="83" t="s">
        <v>71</v>
      </c>
      <c r="C48" s="24">
        <f>15413907115.78</f>
        <v>15413907115.78</v>
      </c>
      <c r="D48" s="24">
        <f>6115038128.96</f>
        <v>6115038128.96</v>
      </c>
      <c r="E48" s="24">
        <f>6107965607.32</f>
        <v>6107965607.32</v>
      </c>
      <c r="F48" s="24">
        <f>0</f>
        <v>0</v>
      </c>
      <c r="G48" s="24">
        <f>161748.71</f>
        <v>161748.71</v>
      </c>
      <c r="H48" s="24">
        <f>0</f>
        <v>0</v>
      </c>
      <c r="I48" s="24">
        <f>144868.1</f>
        <v>144868.1</v>
      </c>
      <c r="J48" s="24">
        <f>6730</f>
        <v>6730</v>
      </c>
      <c r="K48" s="38">
        <f t="shared" si="0"/>
        <v>6.15367624888087</v>
      </c>
      <c r="L48" s="38">
        <f>IF(C48=0,"",100*D48/C48)</f>
        <v>39.672213430556646</v>
      </c>
      <c r="M48" s="38"/>
    </row>
    <row r="49" spans="1:13" s="5" customFormat="1" ht="13.5" customHeight="1">
      <c r="A49" s="2"/>
      <c r="B49" s="83" t="s">
        <v>72</v>
      </c>
      <c r="C49" s="24">
        <f>C47-C48</f>
        <v>115243501796.96</v>
      </c>
      <c r="D49" s="24">
        <f aca="true" t="shared" si="5" ref="D49:J49">D47-D48</f>
        <v>93257075086.65</v>
      </c>
      <c r="E49" s="24">
        <f t="shared" si="5"/>
        <v>90225696000.45001</v>
      </c>
      <c r="F49" s="24">
        <f t="shared" si="5"/>
        <v>2159691031.8</v>
      </c>
      <c r="G49" s="24">
        <f t="shared" si="5"/>
        <v>478212509.65000004</v>
      </c>
      <c r="H49" s="24">
        <f t="shared" si="5"/>
        <v>50582903.03</v>
      </c>
      <c r="I49" s="24">
        <f t="shared" si="5"/>
        <v>99055455.81</v>
      </c>
      <c r="J49" s="24">
        <f t="shared" si="5"/>
        <v>980227.01</v>
      </c>
      <c r="K49" s="38">
        <f t="shared" si="0"/>
        <v>93.84632375111913</v>
      </c>
      <c r="L49" s="38">
        <f>IF(C49=0,"",100*D49/C49)</f>
        <v>80.92176446612456</v>
      </c>
      <c r="M49" s="38"/>
    </row>
    <row r="50" spans="2:13" ht="15">
      <c r="B50" s="102" t="s">
        <v>112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03" t="s">
        <v>0</v>
      </c>
      <c r="C52" s="104" t="s">
        <v>56</v>
      </c>
      <c r="D52" s="104" t="s">
        <v>57</v>
      </c>
      <c r="E52" s="104" t="s">
        <v>58</v>
      </c>
      <c r="F52" s="104" t="s">
        <v>12</v>
      </c>
      <c r="G52" s="104"/>
      <c r="H52" s="104"/>
      <c r="I52" s="104" t="s">
        <v>95</v>
      </c>
      <c r="J52" s="104"/>
      <c r="K52" s="104" t="s">
        <v>2</v>
      </c>
      <c r="L52" s="108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03"/>
      <c r="C53" s="104"/>
      <c r="D53" s="107"/>
      <c r="E53" s="104"/>
      <c r="F53" s="92" t="s">
        <v>59</v>
      </c>
      <c r="G53" s="106" t="s">
        <v>34</v>
      </c>
      <c r="H53" s="107"/>
      <c r="I53" s="104"/>
      <c r="J53" s="104"/>
      <c r="K53" s="104"/>
      <c r="L53" s="108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03"/>
      <c r="C54" s="104"/>
      <c r="D54" s="107"/>
      <c r="E54" s="104"/>
      <c r="F54" s="107"/>
      <c r="G54" s="18" t="s">
        <v>54</v>
      </c>
      <c r="H54" s="18" t="s">
        <v>55</v>
      </c>
      <c r="I54" s="104"/>
      <c r="J54" s="104"/>
      <c r="K54" s="104"/>
      <c r="L54" s="108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03"/>
      <c r="C55" s="105" t="s">
        <v>78</v>
      </c>
      <c r="D55" s="105"/>
      <c r="E55" s="105"/>
      <c r="F55" s="105"/>
      <c r="G55" s="105"/>
      <c r="H55" s="105"/>
      <c r="I55" s="105"/>
      <c r="J55" s="105"/>
      <c r="K55" s="105" t="s">
        <v>4</v>
      </c>
      <c r="L55" s="10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107">
        <v>8</v>
      </c>
      <c r="J56" s="107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64</v>
      </c>
      <c r="C57" s="66">
        <f>140302645543.3</f>
        <v>140302645543.3</v>
      </c>
      <c r="D57" s="66">
        <f>116584259189.62</f>
        <v>116584259189.62</v>
      </c>
      <c r="E57" s="66">
        <f>93264554315.87</f>
        <v>93264554315.87</v>
      </c>
      <c r="F57" s="66">
        <f>3193226107.34</f>
        <v>3193226107.34</v>
      </c>
      <c r="G57" s="66">
        <f>4279526.11</f>
        <v>4279526.11</v>
      </c>
      <c r="H57" s="66">
        <f>16849494.84</f>
        <v>16849494.84</v>
      </c>
      <c r="I57" s="111">
        <f>0</f>
        <v>0</v>
      </c>
      <c r="J57" s="111"/>
      <c r="K57" s="58">
        <f aca="true" t="shared" si="6" ref="K57:K66">IF($E$57=0,"",100*$E57/$E$57)</f>
        <v>100</v>
      </c>
      <c r="L57" s="58">
        <f aca="true" t="shared" si="7" ref="L57:L66">IF(C57=0,"",100*E57/C57)</f>
        <v>66.47383871823489</v>
      </c>
    </row>
    <row r="58" spans="2:12" ht="24" customHeight="1">
      <c r="B58" s="82" t="s">
        <v>14</v>
      </c>
      <c r="C58" s="26">
        <f>31002488546.92</f>
        <v>31002488546.92</v>
      </c>
      <c r="D58" s="26">
        <f>20184169224.74</f>
        <v>20184169224.74</v>
      </c>
      <c r="E58" s="26">
        <f>12463098595.96</f>
        <v>12463098595.96</v>
      </c>
      <c r="F58" s="26">
        <f>1191651332.83</f>
        <v>1191651332.83</v>
      </c>
      <c r="G58" s="26">
        <f>2344951.16</f>
        <v>2344951.16</v>
      </c>
      <c r="H58" s="26">
        <f>3608531.31</f>
        <v>3608531.31</v>
      </c>
      <c r="I58" s="101">
        <f>0</f>
        <v>0</v>
      </c>
      <c r="J58" s="112"/>
      <c r="K58" s="35">
        <f t="shared" si="6"/>
        <v>13.363167483489777</v>
      </c>
      <c r="L58" s="35">
        <f t="shared" si="7"/>
        <v>40.20031674908294</v>
      </c>
    </row>
    <row r="59" spans="2:12" ht="22.5" customHeight="1">
      <c r="B59" s="20" t="s">
        <v>13</v>
      </c>
      <c r="C59" s="22">
        <f>30528700749.62</f>
        <v>30528700749.62</v>
      </c>
      <c r="D59" s="22">
        <f>19819215494.91</f>
        <v>19819215494.91</v>
      </c>
      <c r="E59" s="22">
        <f>12134046371.89</f>
        <v>12134046371.89</v>
      </c>
      <c r="F59" s="22">
        <f>1187758273.55</f>
        <v>1187758273.55</v>
      </c>
      <c r="G59" s="22">
        <f>2344951.16</f>
        <v>2344951.16</v>
      </c>
      <c r="H59" s="22">
        <f>3608531.31</f>
        <v>3608531.31</v>
      </c>
      <c r="I59" s="109">
        <f>0</f>
        <v>0</v>
      </c>
      <c r="J59" s="110"/>
      <c r="K59" s="36">
        <f t="shared" si="6"/>
        <v>13.010351532688617</v>
      </c>
      <c r="L59" s="36">
        <f t="shared" si="7"/>
        <v>39.74635694917687</v>
      </c>
    </row>
    <row r="60" spans="2:12" ht="25.5" customHeight="1">
      <c r="B60" s="82" t="s">
        <v>65</v>
      </c>
      <c r="C60" s="26">
        <f aca="true" t="shared" si="8" ref="C60:I60">C57-C58</f>
        <v>109300156996.37999</v>
      </c>
      <c r="D60" s="26">
        <f t="shared" si="8"/>
        <v>96400089964.87999</v>
      </c>
      <c r="E60" s="26">
        <f t="shared" si="8"/>
        <v>80801455719.91</v>
      </c>
      <c r="F60" s="26">
        <f t="shared" si="8"/>
        <v>2001574774.5100002</v>
      </c>
      <c r="G60" s="26">
        <f t="shared" si="8"/>
        <v>1934574.9500000002</v>
      </c>
      <c r="H60" s="26">
        <f t="shared" si="8"/>
        <v>13240963.53</v>
      </c>
      <c r="I60" s="101">
        <f t="shared" si="8"/>
        <v>0</v>
      </c>
      <c r="J60" s="101"/>
      <c r="K60" s="35">
        <f t="shared" si="6"/>
        <v>86.63683251651022</v>
      </c>
      <c r="L60" s="35">
        <f t="shared" si="7"/>
        <v>73.92620279821385</v>
      </c>
    </row>
    <row r="61" spans="2:12" ht="22.5">
      <c r="B61" s="20" t="s">
        <v>111</v>
      </c>
      <c r="C61" s="22">
        <f>42432573571.65</f>
        <v>42432573571.65</v>
      </c>
      <c r="D61" s="22">
        <f>39180107418.07</f>
        <v>39180107418.07</v>
      </c>
      <c r="E61" s="22">
        <f>30710269067.91</f>
        <v>30710269067.91</v>
      </c>
      <c r="F61" s="22">
        <f>811199215.97</f>
        <v>811199215.97</v>
      </c>
      <c r="G61" s="22">
        <f>77509.87</f>
        <v>77509.87</v>
      </c>
      <c r="H61" s="22">
        <f>1069701.38</f>
        <v>1069701.38</v>
      </c>
      <c r="I61" s="109">
        <f>0</f>
        <v>0</v>
      </c>
      <c r="J61" s="110"/>
      <c r="K61" s="36">
        <f t="shared" si="6"/>
        <v>32.92812504512693</v>
      </c>
      <c r="L61" s="36">
        <f t="shared" si="7"/>
        <v>72.37427872729386</v>
      </c>
    </row>
    <row r="62" spans="2:12" ht="13.5" customHeight="1">
      <c r="B62" s="32" t="s">
        <v>53</v>
      </c>
      <c r="C62" s="68">
        <f>8217146322.66</f>
        <v>8217146322.66</v>
      </c>
      <c r="D62" s="68">
        <f>6963985713.68</f>
        <v>6963985713.68</v>
      </c>
      <c r="E62" s="68">
        <f>6180835715.71</f>
        <v>6180835715.71</v>
      </c>
      <c r="F62" s="68">
        <f>18308674.48</f>
        <v>18308674.48</v>
      </c>
      <c r="G62" s="68">
        <f>0</f>
        <v>0</v>
      </c>
      <c r="H62" s="68">
        <f>1095003.9</f>
        <v>1095003.9</v>
      </c>
      <c r="I62" s="100">
        <f>0</f>
        <v>0</v>
      </c>
      <c r="J62" s="100"/>
      <c r="K62" s="69">
        <f t="shared" si="6"/>
        <v>6.627207690047646</v>
      </c>
      <c r="L62" s="69">
        <f t="shared" si="7"/>
        <v>75.21876175753897</v>
      </c>
    </row>
    <row r="63" spans="2:12" ht="13.5" customHeight="1">
      <c r="B63" s="32" t="s">
        <v>52</v>
      </c>
      <c r="C63" s="24">
        <f>961994583.02</f>
        <v>961994583.02</v>
      </c>
      <c r="D63" s="24">
        <f>637228407.85</f>
        <v>637228407.85</v>
      </c>
      <c r="E63" s="24">
        <f>549216490.74</f>
        <v>549216490.74</v>
      </c>
      <c r="F63" s="24">
        <f>21803273.35</f>
        <v>21803273.35</v>
      </c>
      <c r="G63" s="24">
        <f>0</f>
        <v>0</v>
      </c>
      <c r="H63" s="24">
        <f>0</f>
        <v>0</v>
      </c>
      <c r="I63" s="115">
        <f>0</f>
        <v>0</v>
      </c>
      <c r="J63" s="115"/>
      <c r="K63" s="69">
        <f t="shared" si="6"/>
        <v>0.5888801965212895</v>
      </c>
      <c r="L63" s="69">
        <f t="shared" si="7"/>
        <v>57.091432782899744</v>
      </c>
    </row>
    <row r="64" spans="2:12" ht="22.5" customHeight="1">
      <c r="B64" s="32" t="s">
        <v>68</v>
      </c>
      <c r="C64" s="68">
        <f>106550075.35</f>
        <v>106550075.35</v>
      </c>
      <c r="D64" s="68">
        <f>10824143.94</f>
        <v>10824143.94</v>
      </c>
      <c r="E64" s="68">
        <f>3245129.33</f>
        <v>3245129.33</v>
      </c>
      <c r="F64" s="68">
        <f>224500</f>
        <v>224500</v>
      </c>
      <c r="G64" s="68">
        <f>0</f>
        <v>0</v>
      </c>
      <c r="H64" s="68">
        <f>0</f>
        <v>0</v>
      </c>
      <c r="I64" s="100">
        <f>0</f>
        <v>0</v>
      </c>
      <c r="J64" s="100"/>
      <c r="K64" s="69">
        <f t="shared" si="6"/>
        <v>0.0034794883799147748</v>
      </c>
      <c r="L64" s="69">
        <f t="shared" si="7"/>
        <v>3.0456377617193304</v>
      </c>
    </row>
    <row r="65" spans="2:12" ht="22.5" customHeight="1">
      <c r="B65" s="32" t="s">
        <v>70</v>
      </c>
      <c r="C65" s="68">
        <f>28862826930.8</f>
        <v>28862826930.8</v>
      </c>
      <c r="D65" s="68">
        <f>28193331051.63</f>
        <v>28193331051.63</v>
      </c>
      <c r="E65" s="68">
        <f>25112745824.26</f>
        <v>25112745824.26</v>
      </c>
      <c r="F65" s="68">
        <f>406121915.97</f>
        <v>406121915.97</v>
      </c>
      <c r="G65" s="68">
        <f>4096.51</f>
        <v>4096.51</v>
      </c>
      <c r="H65" s="68">
        <f>95021.32</f>
        <v>95021.32</v>
      </c>
      <c r="I65" s="113">
        <f>0</f>
        <v>0</v>
      </c>
      <c r="J65" s="114"/>
      <c r="K65" s="69">
        <f t="shared" si="6"/>
        <v>26.926355900664813</v>
      </c>
      <c r="L65" s="69">
        <f t="shared" si="7"/>
        <v>87.00722865597677</v>
      </c>
    </row>
    <row r="66" spans="2:12" ht="13.5" customHeight="1">
      <c r="B66" s="32" t="s">
        <v>51</v>
      </c>
      <c r="C66" s="24">
        <f aca="true" t="shared" si="9" ref="C66:I66">C60-C61-C62-C63-C64-C65</f>
        <v>28719065512.899998</v>
      </c>
      <c r="D66" s="24">
        <f t="shared" si="9"/>
        <v>21414613229.709988</v>
      </c>
      <c r="E66" s="24">
        <f t="shared" si="9"/>
        <v>18245143491.960003</v>
      </c>
      <c r="F66" s="24">
        <f t="shared" si="9"/>
        <v>743917194.7400002</v>
      </c>
      <c r="G66" s="24">
        <f t="shared" si="9"/>
        <v>1852968.57</v>
      </c>
      <c r="H66" s="24">
        <f t="shared" si="9"/>
        <v>10981236.929999998</v>
      </c>
      <c r="I66" s="100">
        <f t="shared" si="9"/>
        <v>0</v>
      </c>
      <c r="J66" s="100" t="e">
        <f>J60-J61-#REF!-J62-J63-J64-J65</f>
        <v>#REF!</v>
      </c>
      <c r="K66" s="69">
        <f t="shared" si="6"/>
        <v>19.562784195769634</v>
      </c>
      <c r="L66" s="69">
        <f t="shared" si="7"/>
        <v>63.529725518975084</v>
      </c>
    </row>
    <row r="67" spans="2:13" ht="18" customHeight="1">
      <c r="B67" s="82" t="s">
        <v>15</v>
      </c>
      <c r="C67" s="26">
        <f>C6-C57</f>
        <v>-9645236630.559982</v>
      </c>
      <c r="D67" s="26"/>
      <c r="E67" s="26">
        <f>D6-E57</f>
        <v>6107558899.7400055</v>
      </c>
      <c r="F67" s="26"/>
      <c r="G67" s="26"/>
      <c r="H67" s="26"/>
      <c r="I67" s="101"/>
      <c r="J67" s="101"/>
      <c r="K67" s="27"/>
      <c r="L67" s="27"/>
      <c r="M67" s="13"/>
    </row>
    <row r="68" spans="2:13" ht="33" customHeight="1">
      <c r="B68" s="84" t="s">
        <v>73</v>
      </c>
      <c r="C68" s="26">
        <f>+C49-C60</f>
        <v>5943344800.580017</v>
      </c>
      <c r="D68" s="26"/>
      <c r="E68" s="26">
        <f>+D49-E60</f>
        <v>12455619366.73999</v>
      </c>
      <c r="F68" s="26"/>
      <c r="G68" s="26"/>
      <c r="H68" s="26"/>
      <c r="I68" s="26"/>
      <c r="J68" s="26"/>
      <c r="K68" s="27"/>
      <c r="L68" s="27"/>
      <c r="M68" s="13"/>
    </row>
    <row r="69" spans="2:13" ht="8.25" customHeight="1" thickBot="1">
      <c r="B69" s="70"/>
      <c r="C69" s="71"/>
      <c r="D69" s="71"/>
      <c r="E69" s="71"/>
      <c r="F69" s="71"/>
      <c r="G69" s="71"/>
      <c r="H69" s="71"/>
      <c r="I69" s="71"/>
      <c r="J69" s="71"/>
      <c r="K69" s="27"/>
      <c r="L69" s="27"/>
      <c r="M69" s="13"/>
    </row>
    <row r="70" spans="2:13" ht="14.25" customHeight="1">
      <c r="B70" s="85" t="s">
        <v>74</v>
      </c>
      <c r="C70" s="71"/>
      <c r="D70" s="71"/>
      <c r="E70" s="71"/>
      <c r="F70" s="71"/>
      <c r="G70" s="71"/>
      <c r="H70" s="71"/>
      <c r="I70" s="71"/>
      <c r="J70" s="71"/>
      <c r="K70" s="27"/>
      <c r="L70" s="27"/>
      <c r="M70" s="13"/>
    </row>
    <row r="71" spans="2:13" ht="24" customHeight="1">
      <c r="B71" s="82" t="s">
        <v>75</v>
      </c>
      <c r="C71" s="41">
        <f>14041325854.74</f>
        <v>14041325854.74</v>
      </c>
      <c r="D71" s="41">
        <f>9468290897.21</f>
        <v>9468290897.21</v>
      </c>
      <c r="E71" s="41">
        <f>6134377696.18</f>
        <v>6134377696.18</v>
      </c>
      <c r="F71" s="41">
        <f>440409769.04</f>
        <v>440409769.04</v>
      </c>
      <c r="G71" s="41">
        <f>771329.23</f>
        <v>771329.23</v>
      </c>
      <c r="H71" s="41">
        <f>388887.06</f>
        <v>388887.06</v>
      </c>
      <c r="I71" s="41">
        <f>0</f>
        <v>0</v>
      </c>
      <c r="J71" s="41">
        <f>0</f>
        <v>0</v>
      </c>
      <c r="K71" s="72">
        <f>IF($E$57=0,"",100*$E71/$E$71)</f>
        <v>100</v>
      </c>
      <c r="L71" s="72">
        <f>IF(C71=0,"",100*E71/C71)</f>
        <v>43.68802319411445</v>
      </c>
      <c r="M71" s="13"/>
    </row>
    <row r="72" spans="2:13" ht="15" customHeight="1">
      <c r="B72" s="86" t="s">
        <v>76</v>
      </c>
      <c r="C72" s="22">
        <f>12983649046.22</f>
        <v>12983649046.22</v>
      </c>
      <c r="D72" s="22">
        <f>8701741390.84</f>
        <v>8701741390.84</v>
      </c>
      <c r="E72" s="22">
        <f>5521790919.3</f>
        <v>5521790919.3</v>
      </c>
      <c r="F72" s="22">
        <f>429190152.64</f>
        <v>429190152.64</v>
      </c>
      <c r="G72" s="22">
        <f>497151.23</f>
        <v>497151.23</v>
      </c>
      <c r="H72" s="22">
        <f>359537.02</f>
        <v>359537.02</v>
      </c>
      <c r="I72" s="22">
        <f>0</f>
        <v>0</v>
      </c>
      <c r="J72" s="22">
        <f>0</f>
        <v>0</v>
      </c>
      <c r="K72" s="36">
        <f>IF($E$57=0,"",100*$E72/$E$71)</f>
        <v>90.01387251943306</v>
      </c>
      <c r="L72" s="36">
        <f>IF(C72=0,"",100*E72/C72)</f>
        <v>42.528806036293695</v>
      </c>
      <c r="M72" s="13"/>
    </row>
    <row r="73" spans="2:13" ht="14.25" customHeight="1">
      <c r="B73" s="87" t="s">
        <v>77</v>
      </c>
      <c r="C73" s="22">
        <f>+C71-C72</f>
        <v>1057676808.5200005</v>
      </c>
      <c r="D73" s="22">
        <f aca="true" t="shared" si="10" ref="D73:J73">+D71-D72</f>
        <v>766549506.3699989</v>
      </c>
      <c r="E73" s="22">
        <f t="shared" si="10"/>
        <v>612586776.8800001</v>
      </c>
      <c r="F73" s="22">
        <f t="shared" si="10"/>
        <v>11219616.400000036</v>
      </c>
      <c r="G73" s="22">
        <f t="shared" si="10"/>
        <v>274178</v>
      </c>
      <c r="H73" s="22">
        <f t="shared" si="10"/>
        <v>29350.03999999998</v>
      </c>
      <c r="I73" s="22">
        <f t="shared" si="10"/>
        <v>0</v>
      </c>
      <c r="J73" s="22">
        <f t="shared" si="10"/>
        <v>0</v>
      </c>
      <c r="K73" s="36">
        <f>IF($E$57=0,"",100*$E73/$E$71)</f>
        <v>9.98612748056694</v>
      </c>
      <c r="L73" s="36">
        <f>IF(C73=0,"",100*E73/C73)</f>
        <v>57.91814398740466</v>
      </c>
      <c r="M73" s="10"/>
    </row>
    <row r="74" spans="2:13" ht="15">
      <c r="B74" s="102" t="s">
        <v>112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ht="6.75" customHeight="1"/>
    <row r="76" spans="2:8" ht="18" customHeight="1">
      <c r="B76" s="81" t="s">
        <v>16</v>
      </c>
      <c r="C76" s="91" t="s">
        <v>17</v>
      </c>
      <c r="D76" s="90"/>
      <c r="E76" s="91" t="s">
        <v>1</v>
      </c>
      <c r="F76" s="90"/>
      <c r="G76" s="19" t="s">
        <v>26</v>
      </c>
      <c r="H76" s="19" t="s">
        <v>27</v>
      </c>
    </row>
    <row r="77" spans="2:10" ht="13.5" customHeight="1">
      <c r="B77" s="40"/>
      <c r="C77" s="92" t="s">
        <v>78</v>
      </c>
      <c r="D77" s="93"/>
      <c r="E77" s="93"/>
      <c r="F77" s="94"/>
      <c r="G77" s="95" t="s">
        <v>4</v>
      </c>
      <c r="H77" s="96"/>
      <c r="J77" s="14"/>
    </row>
    <row r="78" spans="2:10" ht="11.25" customHeight="1">
      <c r="B78" s="39">
        <v>1</v>
      </c>
      <c r="C78" s="42">
        <v>2</v>
      </c>
      <c r="D78" s="43"/>
      <c r="E78" s="42">
        <v>3</v>
      </c>
      <c r="F78" s="43"/>
      <c r="G78" s="30">
        <v>4</v>
      </c>
      <c r="H78" s="30">
        <v>5</v>
      </c>
      <c r="J78" s="10"/>
    </row>
    <row r="79" spans="2:8" ht="25.5" customHeight="1">
      <c r="B79" s="80" t="s">
        <v>66</v>
      </c>
      <c r="C79" s="44">
        <f>15010544149.86</f>
        <v>15010544149.86</v>
      </c>
      <c r="D79" s="45"/>
      <c r="E79" s="44">
        <f>11518339099.07</f>
        <v>11518339099.07</v>
      </c>
      <c r="F79" s="45"/>
      <c r="G79" s="37">
        <f aca="true" t="shared" si="11" ref="G79:G86">IF($E$79=0,"",100*$E79/$E$79)</f>
        <v>100</v>
      </c>
      <c r="H79" s="35">
        <f>IF(C79=0,"",100*E79/C79)</f>
        <v>76.73498698031828</v>
      </c>
    </row>
    <row r="80" spans="2:8" ht="26.25" customHeight="1">
      <c r="B80" s="60" t="s">
        <v>96</v>
      </c>
      <c r="C80" s="46">
        <f>9135413806.37</f>
        <v>9135413806.37</v>
      </c>
      <c r="D80" s="47"/>
      <c r="E80" s="46">
        <f>3570647840.99</f>
        <v>3570647840.99</v>
      </c>
      <c r="F80" s="47"/>
      <c r="G80" s="56">
        <f t="shared" si="11"/>
        <v>30.99967634464154</v>
      </c>
      <c r="H80" s="57">
        <f aca="true" t="shared" si="12" ref="H80:H91">IF(C80=0,"",100*E80/C80)</f>
        <v>39.085781078687816</v>
      </c>
    </row>
    <row r="81" spans="2:8" ht="22.5">
      <c r="B81" s="73" t="s">
        <v>97</v>
      </c>
      <c r="C81" s="74">
        <f>304810372.92</f>
        <v>304810372.92</v>
      </c>
      <c r="D81" s="75"/>
      <c r="E81" s="74">
        <f>151655000</f>
        <v>151655000</v>
      </c>
      <c r="F81" s="75"/>
      <c r="G81" s="76">
        <f t="shared" si="11"/>
        <v>1.3166394798382413</v>
      </c>
      <c r="H81" s="67">
        <f t="shared" si="12"/>
        <v>49.753884209118795</v>
      </c>
    </row>
    <row r="82" spans="2:8" ht="12.75">
      <c r="B82" s="77" t="s">
        <v>98</v>
      </c>
      <c r="C82" s="74">
        <f>81861598.41</f>
        <v>81861598.41</v>
      </c>
      <c r="D82" s="75"/>
      <c r="E82" s="74">
        <f>40198815.78</f>
        <v>40198815.78</v>
      </c>
      <c r="F82" s="75"/>
      <c r="G82" s="76">
        <f t="shared" si="11"/>
        <v>0.348998370635274</v>
      </c>
      <c r="H82" s="67">
        <f t="shared" si="12"/>
        <v>49.10582808152133</v>
      </c>
    </row>
    <row r="83" spans="2:8" ht="12.75">
      <c r="B83" s="77" t="s">
        <v>99</v>
      </c>
      <c r="C83" s="74">
        <f>1390826055.33</f>
        <v>1390826055.33</v>
      </c>
      <c r="D83" s="75"/>
      <c r="E83" s="74">
        <f>1914271167.52</f>
        <v>1914271167.52</v>
      </c>
      <c r="F83" s="75"/>
      <c r="G83" s="76">
        <f t="shared" si="11"/>
        <v>16.61933331754888</v>
      </c>
      <c r="H83" s="67">
        <f t="shared" si="12"/>
        <v>137.63555551638</v>
      </c>
    </row>
    <row r="84" spans="2:8" ht="13.5" customHeight="1">
      <c r="B84" s="77" t="s">
        <v>100</v>
      </c>
      <c r="C84" s="74">
        <f>0.53</f>
        <v>0.53</v>
      </c>
      <c r="D84" s="75"/>
      <c r="E84" s="74">
        <f>0.53</f>
        <v>0.53</v>
      </c>
      <c r="F84" s="75"/>
      <c r="G84" s="76">
        <f t="shared" si="11"/>
        <v>4.601357847181219E-09</v>
      </c>
      <c r="H84" s="67">
        <f t="shared" si="12"/>
        <v>100</v>
      </c>
    </row>
    <row r="85" spans="2:8" ht="40.5" customHeight="1">
      <c r="B85" s="77" t="s">
        <v>80</v>
      </c>
      <c r="C85" s="74">
        <f>4355187809.18</f>
        <v>4355187809.18</v>
      </c>
      <c r="D85" s="75"/>
      <c r="E85" s="74">
        <f>5856991008.04</f>
        <v>5856991008.04</v>
      </c>
      <c r="F85" s="75"/>
      <c r="G85" s="76">
        <f t="shared" si="11"/>
        <v>50.84926704851829</v>
      </c>
      <c r="H85" s="67">
        <f t="shared" si="12"/>
        <v>134.48308694505556</v>
      </c>
    </row>
    <row r="86" spans="2:8" ht="12.75">
      <c r="B86" s="77" t="s">
        <v>81</v>
      </c>
      <c r="C86" s="74">
        <f>47254880.04</f>
        <v>47254880.04</v>
      </c>
      <c r="D86" s="75"/>
      <c r="E86" s="74">
        <f>136230266.21</f>
        <v>136230266.21</v>
      </c>
      <c r="F86" s="75"/>
      <c r="G86" s="76">
        <f t="shared" si="11"/>
        <v>1.1827249140546605</v>
      </c>
      <c r="H86" s="67">
        <f t="shared" si="12"/>
        <v>288.28824894843603</v>
      </c>
    </row>
    <row r="87" spans="2:8" ht="25.5" customHeight="1">
      <c r="B87" s="80" t="s">
        <v>67</v>
      </c>
      <c r="C87" s="54">
        <f>5340266459.71</f>
        <v>5340266459.71</v>
      </c>
      <c r="D87" s="55"/>
      <c r="E87" s="54">
        <f>4099758584.04</f>
        <v>4099758584.04</v>
      </c>
      <c r="F87" s="55"/>
      <c r="G87" s="37">
        <f>IF($E$87=0,"",100*$E87/$E$87)</f>
        <v>100</v>
      </c>
      <c r="H87" s="35">
        <f t="shared" si="12"/>
        <v>76.77067455286931</v>
      </c>
    </row>
    <row r="88" spans="2:8" ht="36" customHeight="1">
      <c r="B88" s="60" t="s">
        <v>101</v>
      </c>
      <c r="C88" s="46">
        <f>4744211496.66</f>
        <v>4744211496.66</v>
      </c>
      <c r="D88" s="52"/>
      <c r="E88" s="53">
        <f>3104333545.38</f>
        <v>3104333545.38</v>
      </c>
      <c r="F88" s="52"/>
      <c r="G88" s="56">
        <f>IF($E$87=0,"",100*$E88/$E$87)</f>
        <v>75.71991086170044</v>
      </c>
      <c r="H88" s="57">
        <f t="shared" si="12"/>
        <v>65.43413057292028</v>
      </c>
    </row>
    <row r="89" spans="2:8" ht="24.75" customHeight="1">
      <c r="B89" s="77" t="s">
        <v>102</v>
      </c>
      <c r="C89" s="74">
        <f>76542614</f>
        <v>76542614</v>
      </c>
      <c r="D89" s="75"/>
      <c r="E89" s="74">
        <f>32267227</f>
        <v>32267227</v>
      </c>
      <c r="F89" s="75"/>
      <c r="G89" s="76">
        <f>IF($E$87=0,"",100*$E89/$E$87)</f>
        <v>0.7870518797280767</v>
      </c>
      <c r="H89" s="67">
        <f t="shared" si="12"/>
        <v>42.155898934938385</v>
      </c>
    </row>
    <row r="90" spans="2:8" ht="12.75">
      <c r="B90" s="73" t="s">
        <v>103</v>
      </c>
      <c r="C90" s="74">
        <f>67741304.65</f>
        <v>67741304.65</v>
      </c>
      <c r="D90" s="75"/>
      <c r="E90" s="74">
        <f>54162648.46</f>
        <v>54162648.46</v>
      </c>
      <c r="F90" s="75"/>
      <c r="G90" s="76">
        <f>IF($E$87=0,"",100*$E90/$E$87)</f>
        <v>1.3211179963339899</v>
      </c>
      <c r="H90" s="67">
        <f t="shared" si="12"/>
        <v>79.95513038882696</v>
      </c>
    </row>
    <row r="91" spans="2:8" ht="12.75">
      <c r="B91" s="77" t="s">
        <v>33</v>
      </c>
      <c r="C91" s="74">
        <f>528313658.4</f>
        <v>528313658.4</v>
      </c>
      <c r="D91" s="75"/>
      <c r="E91" s="74">
        <f>941262390.2</f>
        <v>941262390.2</v>
      </c>
      <c r="F91" s="75"/>
      <c r="G91" s="76">
        <f>IF($E$87=0,"",100*$E91/$E$87)</f>
        <v>22.958971141965574</v>
      </c>
      <c r="H91" s="67">
        <f t="shared" si="12"/>
        <v>178.16355402406535</v>
      </c>
    </row>
    <row r="92" ht="7.5" customHeight="1"/>
    <row r="93" spans="2:8" ht="12.75">
      <c r="B93" s="81" t="s">
        <v>16</v>
      </c>
      <c r="C93" s="91" t="s">
        <v>17</v>
      </c>
      <c r="D93" s="90"/>
      <c r="E93" s="91" t="s">
        <v>1</v>
      </c>
      <c r="F93" s="90"/>
      <c r="G93" s="19" t="s">
        <v>26</v>
      </c>
      <c r="H93" s="19" t="s">
        <v>27</v>
      </c>
    </row>
    <row r="94" spans="2:8" ht="12.75">
      <c r="B94" s="40"/>
      <c r="C94" s="92" t="s">
        <v>78</v>
      </c>
      <c r="D94" s="93"/>
      <c r="E94" s="93"/>
      <c r="F94" s="94"/>
      <c r="G94" s="95" t="s">
        <v>4</v>
      </c>
      <c r="H94" s="96"/>
    </row>
    <row r="95" spans="2:8" ht="12.75">
      <c r="B95" s="39">
        <v>1</v>
      </c>
      <c r="C95" s="42">
        <v>2</v>
      </c>
      <c r="D95" s="43"/>
      <c r="E95" s="42">
        <v>3</v>
      </c>
      <c r="F95" s="43"/>
      <c r="G95" s="30">
        <v>4</v>
      </c>
      <c r="H95" s="30">
        <v>5</v>
      </c>
    </row>
    <row r="96" spans="2:8" ht="31.5" customHeight="1">
      <c r="B96" s="61" t="s">
        <v>82</v>
      </c>
      <c r="C96" s="51">
        <f>10031003702.63</f>
        <v>10031003702.63</v>
      </c>
      <c r="D96" s="48"/>
      <c r="E96" s="51">
        <f>0</f>
        <v>0</v>
      </c>
      <c r="F96" s="45"/>
      <c r="G96" s="37"/>
      <c r="H96" s="35"/>
    </row>
    <row r="97" spans="2:8" ht="47.25" customHeight="1">
      <c r="B97" s="59" t="s">
        <v>83</v>
      </c>
      <c r="C97" s="53">
        <f>239117007.15</f>
        <v>239117007.15</v>
      </c>
      <c r="D97" s="52"/>
      <c r="E97" s="53">
        <f>0</f>
        <v>0</v>
      </c>
      <c r="F97" s="52"/>
      <c r="G97" s="56"/>
      <c r="H97" s="57"/>
    </row>
    <row r="98" spans="2:8" ht="12.75">
      <c r="B98" s="59" t="s">
        <v>84</v>
      </c>
      <c r="C98" s="53">
        <f>6136718816.18</f>
        <v>6136718816.18</v>
      </c>
      <c r="D98" s="52"/>
      <c r="E98" s="53">
        <f>0</f>
        <v>0</v>
      </c>
      <c r="F98" s="52"/>
      <c r="G98" s="56"/>
      <c r="H98" s="57"/>
    </row>
    <row r="99" spans="2:8" ht="25.5" customHeight="1">
      <c r="B99" s="59" t="s">
        <v>85</v>
      </c>
      <c r="C99" s="53">
        <f>0</f>
        <v>0</v>
      </c>
      <c r="D99" s="52"/>
      <c r="E99" s="53">
        <f>0</f>
        <v>0</v>
      </c>
      <c r="F99" s="52"/>
      <c r="G99" s="56"/>
      <c r="H99" s="57"/>
    </row>
    <row r="100" spans="2:8" ht="33.75">
      <c r="B100" s="59" t="s">
        <v>86</v>
      </c>
      <c r="C100" s="53">
        <f>852120727.71</f>
        <v>852120727.71</v>
      </c>
      <c r="D100" s="52"/>
      <c r="E100" s="53">
        <f>0</f>
        <v>0</v>
      </c>
      <c r="F100" s="52"/>
      <c r="G100" s="56"/>
      <c r="H100" s="57"/>
    </row>
    <row r="101" spans="2:8" ht="85.5" customHeight="1">
      <c r="B101" s="59" t="s">
        <v>87</v>
      </c>
      <c r="C101" s="53">
        <f>2803047151.59</f>
        <v>2803047151.59</v>
      </c>
      <c r="D101" s="52"/>
      <c r="E101" s="53">
        <f>0</f>
        <v>0</v>
      </c>
      <c r="F101" s="52"/>
      <c r="G101" s="56"/>
      <c r="H101" s="57"/>
    </row>
    <row r="102" ht="7.5" customHeight="1"/>
    <row r="103" spans="2:6" ht="12.75">
      <c r="B103" s="81" t="s">
        <v>16</v>
      </c>
      <c r="C103" s="91" t="s">
        <v>106</v>
      </c>
      <c r="D103" s="89"/>
      <c r="E103" s="89"/>
      <c r="F103" s="90"/>
    </row>
    <row r="104" spans="2:6" ht="12.75">
      <c r="B104" s="40"/>
      <c r="C104" s="92" t="s">
        <v>78</v>
      </c>
      <c r="D104" s="93"/>
      <c r="E104" s="93"/>
      <c r="F104" s="94"/>
    </row>
    <row r="105" spans="2:6" ht="12.75">
      <c r="B105" s="39">
        <v>1</v>
      </c>
      <c r="C105" s="97">
        <v>2</v>
      </c>
      <c r="D105" s="98"/>
      <c r="E105" s="98"/>
      <c r="F105" s="99"/>
    </row>
    <row r="106" spans="2:6" ht="48.75" customHeight="1">
      <c r="B106" s="79" t="s">
        <v>88</v>
      </c>
      <c r="C106" s="88">
        <f>542326065.09</f>
        <v>542326065.09</v>
      </c>
      <c r="D106" s="89"/>
      <c r="E106" s="89"/>
      <c r="F106" s="90"/>
    </row>
    <row r="107" spans="2:6" ht="36.75" customHeight="1">
      <c r="B107" s="59" t="s">
        <v>89</v>
      </c>
      <c r="C107" s="88">
        <f>366266117.81</f>
        <v>366266117.81</v>
      </c>
      <c r="D107" s="89"/>
      <c r="E107" s="89"/>
      <c r="F107" s="90"/>
    </row>
    <row r="108" spans="2:6" ht="37.5" customHeight="1">
      <c r="B108" s="59" t="s">
        <v>90</v>
      </c>
      <c r="C108" s="88">
        <f>164177185.93</f>
        <v>164177185.93</v>
      </c>
      <c r="D108" s="89"/>
      <c r="E108" s="89"/>
      <c r="F108" s="90"/>
    </row>
    <row r="109" spans="2:6" ht="73.5" customHeight="1">
      <c r="B109" s="59" t="s">
        <v>91</v>
      </c>
      <c r="C109" s="88">
        <f>0</f>
        <v>0</v>
      </c>
      <c r="D109" s="89"/>
      <c r="E109" s="89"/>
      <c r="F109" s="90"/>
    </row>
    <row r="110" spans="2:6" ht="56.25">
      <c r="B110" s="59" t="s">
        <v>92</v>
      </c>
      <c r="C110" s="88">
        <f>0</f>
        <v>0</v>
      </c>
      <c r="D110" s="89"/>
      <c r="E110" s="89"/>
      <c r="F110" s="90"/>
    </row>
    <row r="111" spans="2:6" ht="61.5" customHeight="1">
      <c r="B111" s="78" t="s">
        <v>93</v>
      </c>
      <c r="C111" s="88">
        <f>11663607.2</f>
        <v>11663607.2</v>
      </c>
      <c r="D111" s="89"/>
      <c r="E111" s="89"/>
      <c r="F111" s="90"/>
    </row>
    <row r="112" spans="2:6" ht="49.5" customHeight="1">
      <c r="B112" s="78" t="s">
        <v>94</v>
      </c>
      <c r="C112" s="88">
        <f>0</f>
        <v>0</v>
      </c>
      <c r="D112" s="89"/>
      <c r="E112" s="89"/>
      <c r="F112" s="90"/>
    </row>
    <row r="113" spans="2:6" ht="87" customHeight="1">
      <c r="B113" s="78" t="s">
        <v>104</v>
      </c>
      <c r="C113" s="88">
        <f>705860.24</f>
        <v>705860.24</v>
      </c>
      <c r="D113" s="89"/>
      <c r="E113" s="89"/>
      <c r="F113" s="90"/>
    </row>
    <row r="114" spans="2:6" ht="81" customHeight="1">
      <c r="B114" s="78" t="s">
        <v>105</v>
      </c>
      <c r="C114" s="88">
        <f>0</f>
        <v>0</v>
      </c>
      <c r="D114" s="89"/>
      <c r="E114" s="89"/>
      <c r="F114" s="90"/>
    </row>
    <row r="115" ht="7.5" customHeight="1"/>
  </sheetData>
  <sheetProtection/>
  <mergeCells count="50">
    <mergeCell ref="I58:J58"/>
    <mergeCell ref="I65:J65"/>
    <mergeCell ref="C76:D76"/>
    <mergeCell ref="E76:F76"/>
    <mergeCell ref="C77:F77"/>
    <mergeCell ref="G77:H77"/>
    <mergeCell ref="I63:J63"/>
    <mergeCell ref="I64:J64"/>
    <mergeCell ref="I61:J61"/>
    <mergeCell ref="I62:J62"/>
    <mergeCell ref="B1:M1"/>
    <mergeCell ref="I52:J54"/>
    <mergeCell ref="D52:D54"/>
    <mergeCell ref="E52:E54"/>
    <mergeCell ref="F53:F54"/>
    <mergeCell ref="F52:H52"/>
    <mergeCell ref="I56:J56"/>
    <mergeCell ref="I57:J57"/>
    <mergeCell ref="B3:B4"/>
    <mergeCell ref="K4:M4"/>
    <mergeCell ref="C4:J4"/>
    <mergeCell ref="C55:J55"/>
    <mergeCell ref="C52:C54"/>
    <mergeCell ref="B50:M50"/>
    <mergeCell ref="I66:J66"/>
    <mergeCell ref="I67:J67"/>
    <mergeCell ref="B74:M74"/>
    <mergeCell ref="B52:B55"/>
    <mergeCell ref="K52:K54"/>
    <mergeCell ref="K55:L55"/>
    <mergeCell ref="G53:H53"/>
    <mergeCell ref="L52:L54"/>
    <mergeCell ref="I59:J59"/>
    <mergeCell ref="I60:J60"/>
    <mergeCell ref="C93:D93"/>
    <mergeCell ref="E93:F93"/>
    <mergeCell ref="C94:F94"/>
    <mergeCell ref="G94:H94"/>
    <mergeCell ref="C103:F103"/>
    <mergeCell ref="C112:F112"/>
    <mergeCell ref="C105:F105"/>
    <mergeCell ref="C104:F104"/>
    <mergeCell ref="C113:F113"/>
    <mergeCell ref="C114:F114"/>
    <mergeCell ref="C106:F106"/>
    <mergeCell ref="C107:F107"/>
    <mergeCell ref="C108:F108"/>
    <mergeCell ref="C109:F109"/>
    <mergeCell ref="C110:F110"/>
    <mergeCell ref="C111:F111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3" max="255" man="1"/>
    <brk id="92" max="12" man="1"/>
    <brk id="101" max="12" man="1"/>
    <brk id="11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2019-11-21T09:05:35Z</dcterms:modified>
  <cp:category/>
  <cp:version/>
  <cp:contentType/>
  <cp:contentStatus/>
</cp:coreProperties>
</file>