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<sst xmlns="http://schemas.openxmlformats.org/spreadsheetml/2006/main" count="108" uniqueCount="88">
  <si>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</si>
  <si>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</si>
  <si>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</si>
  <si>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</si>
  <si>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</si>
  <si>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</si>
  <si>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</si>
  <si>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</si>
  <si>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</si>
  <si>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</si>
  <si>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</si>
  <si>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</si>
  <si>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</si>
  <si>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</si>
  <si>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</si>
  <si>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</si>
  <si>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</si>
  <si>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</si>
  <si>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</si>
  <si>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</si>
  <si>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</si>
  <si>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</si>
  <si>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</si>
  <si>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</si>
  <si>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</si>
  <si>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</si>
  <si>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</si>
  <si>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</si>
  <si>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</si>
  <si>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</si>
  <si>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</si>
  <si>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</si>
  <si>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oświatowa</t>
  </si>
  <si>
    <t>część wyrównawcza</t>
  </si>
  <si>
    <t>pozostałe wydatki</t>
  </si>
  <si>
    <t>wydatki na obsługę długu</t>
  </si>
  <si>
    <t>dotacje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</si>
  <si>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</si>
  <si>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</si>
  <si>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</si>
  <si>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</si>
  <si>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</si>
  <si>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</si>
  <si>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część regionalna</t>
  </si>
  <si>
    <t>Razem dochody własne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</si>
  <si>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</si>
  <si>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</si>
  <si>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</si>
  <si>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</si>
  <si>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</si>
  <si>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</si>
  <si>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świadczenia na rzecz osób fizycznych</t>
  </si>
  <si>
    <t>Dotacje §§ 200 i 620</t>
  </si>
  <si>
    <t>w tym: inwestycyjne § 620</t>
  </si>
  <si>
    <t>majątkowe</t>
  </si>
  <si>
    <t>bieżace</t>
  </si>
  <si>
    <t>UE</t>
  </si>
  <si>
    <t>wydatki majątkowe</t>
  </si>
  <si>
    <t>wydatki bieżące</t>
  </si>
  <si>
    <t>w złotych</t>
  </si>
  <si>
    <t xml:space="preserve">Dochody Ogółem </t>
  </si>
  <si>
    <t>z tytułu pomocy finansowej udzielanej między jst na dofinansowanie własnych zadań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</si>
  <si>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</si>
  <si>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</si>
  <si>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</si>
  <si>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</si>
  <si>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</si>
  <si>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</si>
  <si>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</si>
  <si>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Dotacje §§ 205 i 625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</si>
  <si>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</si>
  <si>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</si>
  <si>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Dochody bieżace            minus                                                  wydatki bieżące</t>
  </si>
  <si>
    <t>Wydatki Ogółem UE                                         z tego:</t>
  </si>
  <si>
    <t>Dotacje ogółem       z tego:</t>
  </si>
  <si>
    <t>Dotacje celowe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</si>
  <si>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</si>
  <si>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</si>
  <si>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</si>
  <si>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</si>
  <si>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</si>
  <si>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spłaty kredytów i pożyczek, wykup papierów wartościowych w tym:</t>
  </si>
  <si>
    <t>wykup papierów wartościowych</t>
  </si>
  <si>
    <t xml:space="preserve"> udzielone pożyczki</t>
  </si>
  <si>
    <t>wolne środki, o których mowa w art. 217 ust. 2 pkt 6 ustawy o finansach publicznych</t>
  </si>
  <si>
    <t>wydatki na wynagrodzenia i pochodne od wynagrodzeń</t>
  </si>
  <si>
    <t>niewykorzystane środki pieniężne o których mowa w art..217 ust.2 pkt.8 ustawy o finansach publicznych</t>
  </si>
  <si>
    <t xml:space="preserve">Informacja z wykonania budżetów województw za I Kwartał 2021 rok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</si>
</sst>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0"/>
    </font>
    <font>
      <b/>
      <sz val="12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0" fillId="42" borderId="3" applyNumberFormat="0" applyAlignment="0" applyProtection="0"/>
    <xf numFmtId="0" fontId="41" fillId="43" borderId="4" applyNumberFormat="0" applyAlignment="0" applyProtection="0"/>
    <xf numFmtId="0" fontId="42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3" fillId="0" borderId="8" applyNumberFormat="0" applyFill="0" applyAlignment="0" applyProtection="0"/>
    <xf numFmtId="0" fontId="44" fillId="46" borderId="9" applyNumberFormat="0" applyAlignment="0" applyProtection="0"/>
    <xf numFmtId="0" fontId="26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48" fillId="47" borderId="0" applyNumberFormat="0" applyBorder="0" applyAlignment="0" applyProtection="0"/>
    <xf numFmtId="0" fontId="38" fillId="0" borderId="0">
      <alignment/>
      <protection/>
    </xf>
    <xf numFmtId="0" fontId="0" fillId="4" borderId="14" applyNumberFormat="0" applyFont="0" applyAlignment="0" applyProtection="0"/>
    <xf numFmtId="0" fontId="49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3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4" fillId="4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4" fontId="5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/>
    </xf>
    <xf numFmtId="4" fontId="13" fillId="40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Border="1" applyAlignment="1">
      <alignment horizontal="left" vertical="center" wrapText="1" indent="2"/>
    </xf>
    <xf numFmtId="0" fontId="5" fillId="0" borderId="19" xfId="0" applyFont="1" applyFill="1" applyBorder="1" applyAlignment="1">
      <alignment horizontal="left" vertical="center" wrapText="1" indent="1"/>
    </xf>
    <xf numFmtId="164" fontId="13" fillId="40" borderId="19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horizontal="right" vertical="center"/>
    </xf>
    <xf numFmtId="164" fontId="12" fillId="40" borderId="19" xfId="0" applyNumberFormat="1" applyFont="1" applyFill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164" fontId="12" fillId="40" borderId="19" xfId="71" applyNumberFormat="1" applyFont="1" applyFill="1" applyBorder="1" applyAlignment="1">
      <alignment horizontal="right" vertical="center"/>
    </xf>
    <xf numFmtId="4" fontId="12" fillId="40" borderId="20" xfId="0" applyNumberFormat="1" applyFont="1" applyFill="1" applyBorder="1" applyAlignment="1">
      <alignment horizontal="right" vertical="center"/>
    </xf>
    <xf numFmtId="4" fontId="12" fillId="40" borderId="21" xfId="0" applyNumberFormat="1" applyFont="1" applyFill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4" fontId="7" fillId="0" borderId="21" xfId="0" applyNumberFormat="1" applyFont="1" applyBorder="1" applyAlignment="1">
      <alignment horizontal="right" vertical="center"/>
    </xf>
    <xf numFmtId="4" fontId="7" fillId="40" borderId="21" xfId="0" applyNumberFormat="1" applyFont="1" applyFill="1" applyBorder="1" applyAlignment="1">
      <alignment horizontal="right" vertical="center"/>
    </xf>
    <xf numFmtId="4" fontId="7" fillId="40" borderId="20" xfId="0" applyNumberFormat="1" applyFont="1" applyFill="1" applyBorder="1" applyAlignment="1">
      <alignment horizontal="right" vertical="center"/>
    </xf>
    <xf numFmtId="4" fontId="7" fillId="50" borderId="21" xfId="0" applyNumberFormat="1" applyFont="1" applyFill="1" applyBorder="1" applyAlignment="1">
      <alignment horizontal="right" vertical="center"/>
    </xf>
    <xf numFmtId="4" fontId="7" fillId="50" borderId="20" xfId="0" applyNumberFormat="1" applyFont="1" applyFill="1" applyBorder="1" applyAlignment="1">
      <alignment horizontal="right" vertical="center"/>
    </xf>
    <xf numFmtId="4" fontId="12" fillId="51" borderId="20" xfId="0" applyNumberFormat="1" applyFont="1" applyFill="1" applyBorder="1" applyAlignment="1">
      <alignment horizontal="right" vertical="center"/>
    </xf>
    <xf numFmtId="4" fontId="12" fillId="51" borderId="21" xfId="0" applyNumberFormat="1" applyFont="1" applyFill="1" applyBorder="1" applyAlignment="1">
      <alignment horizontal="right" vertical="center"/>
    </xf>
    <xf numFmtId="0" fontId="55" fillId="51" borderId="19" xfId="89" applyFont="1" applyFill="1" applyBorder="1" applyAlignment="1">
      <alignment horizontal="left" vertical="center" wrapText="1"/>
      <protection/>
    </xf>
    <xf numFmtId="164" fontId="12" fillId="50" borderId="19" xfId="71" applyNumberFormat="1" applyFont="1" applyFill="1" applyBorder="1" applyAlignment="1">
      <alignment horizontal="right" vertical="center"/>
    </xf>
    <xf numFmtId="164" fontId="12" fillId="50" borderId="19" xfId="0" applyNumberFormat="1" applyFont="1" applyFill="1" applyBorder="1" applyAlignment="1">
      <alignment horizontal="right" vertical="center"/>
    </xf>
    <xf numFmtId="164" fontId="12" fillId="51" borderId="19" xfId="0" applyNumberFormat="1" applyFont="1" applyFill="1" applyBorder="1" applyAlignment="1">
      <alignment horizontal="right" vertical="center"/>
    </xf>
    <xf numFmtId="0" fontId="13" fillId="4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top" wrapText="1"/>
    </xf>
    <xf numFmtId="3" fontId="5" fillId="0" borderId="1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 horizontal="left" vertical="center"/>
    </xf>
    <xf numFmtId="3" fontId="13" fillId="0" borderId="0" xfId="0" applyNumberFormat="1" applyFont="1" applyBorder="1" applyAlignment="1">
      <alignment horizontal="right" vertical="center"/>
    </xf>
    <xf numFmtId="0" fontId="13" fillId="0" borderId="22" xfId="0" applyFont="1" applyBorder="1" applyAlignment="1">
      <alignment horizontal="center" vertical="center"/>
    </xf>
    <xf numFmtId="0" fontId="7" fillId="2" borderId="20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12" fillId="40" borderId="19" xfId="0" applyFont="1" applyFill="1" applyBorder="1" applyAlignment="1">
      <alignment horizontal="left" vertical="center" wrapText="1"/>
    </xf>
    <xf numFmtId="0" fontId="13" fillId="51" borderId="19" xfId="0" applyFont="1" applyFill="1" applyBorder="1" applyAlignment="1">
      <alignment horizontal="left" vertical="center" wrapText="1"/>
    </xf>
    <xf numFmtId="4" fontId="13" fillId="51" borderId="19" xfId="0" applyNumberFormat="1" applyFont="1" applyFill="1" applyBorder="1" applyAlignment="1">
      <alignment horizontal="right" vertical="center"/>
    </xf>
    <xf numFmtId="164" fontId="13" fillId="51" borderId="19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4" fontId="5" fillId="51" borderId="19" xfId="0" applyNumberFormat="1" applyFont="1" applyFill="1" applyBorder="1" applyAlignment="1">
      <alignment horizontal="right" vertical="center"/>
    </xf>
    <xf numFmtId="164" fontId="5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0" fontId="13" fillId="51" borderId="19" xfId="0" applyFont="1" applyFill="1" applyBorder="1" applyAlignment="1">
      <alignment horizontal="left" vertical="center" wrapText="1" indent="1"/>
    </xf>
    <xf numFmtId="4" fontId="12" fillId="51" borderId="19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164" fontId="7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/>
    </xf>
    <xf numFmtId="0" fontId="13" fillId="51" borderId="2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 indent="1"/>
    </xf>
    <xf numFmtId="4" fontId="7" fillId="0" borderId="20" xfId="0" applyNumberFormat="1" applyFont="1" applyFill="1" applyBorder="1" applyAlignment="1">
      <alignment horizontal="right" vertical="center"/>
    </xf>
    <xf numFmtId="4" fontId="7" fillId="0" borderId="21" xfId="0" applyNumberFormat="1" applyFont="1" applyFill="1" applyBorder="1" applyAlignment="1">
      <alignment horizontal="right" vertical="center"/>
    </xf>
    <xf numFmtId="164" fontId="12" fillId="0" borderId="19" xfId="71" applyNumberFormat="1" applyFont="1" applyFill="1" applyBorder="1" applyAlignment="1">
      <alignment horizontal="right" vertical="center"/>
    </xf>
    <xf numFmtId="164" fontId="12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center" wrapText="1"/>
    </xf>
    <xf numFmtId="0" fontId="55" fillId="0" borderId="19" xfId="89" applyFont="1" applyFill="1" applyBorder="1" applyAlignment="1">
      <alignment horizontal="left" vertical="center" wrapText="1"/>
      <protection/>
    </xf>
    <xf numFmtId="0" fontId="5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/>
    </xf>
    <xf numFmtId="4" fontId="5" fillId="40" borderId="19" xfId="0" applyNumberFormat="1" applyFont="1" applyFill="1" applyBorder="1" applyAlignment="1">
      <alignment horizontal="right" vertical="center" wrapText="1"/>
    </xf>
    <xf numFmtId="4" fontId="12" fillId="51" borderId="19" xfId="0" applyNumberFormat="1" applyFont="1" applyFill="1" applyBorder="1" applyAlignment="1">
      <alignment horizontal="right" vertical="center"/>
    </xf>
    <xf numFmtId="4" fontId="5" fillId="29" borderId="19" xfId="0" applyNumberFormat="1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>
      <alignment horizontal="right" vertical="center" wrapText="1"/>
    </xf>
    <xf numFmtId="4" fontId="13" fillId="40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4" fontId="7" fillId="0" borderId="20" xfId="0" applyNumberFormat="1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4" fontId="5" fillId="40" borderId="20" xfId="0" applyNumberFormat="1" applyFont="1" applyFill="1" applyBorder="1" applyAlignment="1">
      <alignment horizontal="right" vertical="center" wrapText="1"/>
    </xf>
    <xf numFmtId="0" fontId="32" fillId="0" borderId="21" xfId="0" applyFont="1" applyBorder="1" applyAlignment="1">
      <alignment horizontal="right" vertical="center" wrapText="1"/>
    </xf>
    <xf numFmtId="4" fontId="7" fillId="0" borderId="20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89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3.87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7.25390625" style="1" customWidth="1"/>
    <col min="13" max="13" width="8.125" style="1" hidden="1" customWidth="1"/>
    <col min="14" max="16384" width="9.125" style="1" customWidth="1"/>
  </cols>
  <sheetData>
    <row r="1" spans="2:13" ht="18" customHeight="1">
      <c r="B1" s="105" t="s">
        <v>87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2:8" ht="60" customHeight="1">
      <c r="B2" s="97" t="s">
        <v>0</v>
      </c>
      <c r="C2" s="13" t="s">
        <v>28</v>
      </c>
      <c r="D2" s="13" t="s">
        <v>29</v>
      </c>
      <c r="E2" s="13" t="s">
        <v>30</v>
      </c>
      <c r="F2" s="14" t="s">
        <v>2</v>
      </c>
      <c r="G2" s="13" t="s">
        <v>18</v>
      </c>
      <c r="H2" s="13" t="s">
        <v>3</v>
      </c>
    </row>
    <row r="3" spans="2:8" ht="9.75" customHeight="1">
      <c r="B3" s="97"/>
      <c r="C3" s="90" t="s">
        <v>59</v>
      </c>
      <c r="D3" s="90"/>
      <c r="E3" s="90"/>
      <c r="F3" s="90" t="s">
        <v>4</v>
      </c>
      <c r="G3" s="90"/>
      <c r="H3" s="90"/>
    </row>
    <row r="4" spans="2:8" ht="9" customHeight="1">
      <c r="B4" s="14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</row>
    <row r="5" spans="2:13" ht="12.75">
      <c r="B5" s="69" t="s">
        <v>5</v>
      </c>
      <c r="C5" s="70">
        <f>20603088694.61</f>
        <v>20603088694.61</v>
      </c>
      <c r="D5" s="70">
        <f>5147855341.73</f>
        <v>5147855341.73</v>
      </c>
      <c r="E5" s="70">
        <f>5043347167.6</f>
        <v>5043347167.6</v>
      </c>
      <c r="F5" s="71">
        <f aca="true" t="shared" si="0" ref="F5:F33">IF($D$5=0,"",100*$D5/$D$5)</f>
        <v>100</v>
      </c>
      <c r="G5" s="71">
        <f>IF(C5=0,"",100*D5/C5)</f>
        <v>24.985842744426645</v>
      </c>
      <c r="H5" s="71"/>
      <c r="I5" s="34"/>
      <c r="J5" s="34"/>
      <c r="K5" s="34"/>
      <c r="L5" s="34"/>
      <c r="M5" s="34"/>
    </row>
    <row r="6" spans="2:13" ht="25.5" customHeight="1">
      <c r="B6" s="54" t="s">
        <v>44</v>
      </c>
      <c r="C6" s="22">
        <f>C5-C11-C29</f>
        <v>9648554413.69</v>
      </c>
      <c r="D6" s="22">
        <f>D5-D11-D29</f>
        <v>2652214886.7599998</v>
      </c>
      <c r="E6" s="22">
        <f>E5-E11-E29</f>
        <v>2596084498.6300006</v>
      </c>
      <c r="F6" s="30">
        <f t="shared" si="0"/>
        <v>51.52077342306768</v>
      </c>
      <c r="G6" s="30">
        <f aca="true" t="shared" si="1" ref="G6:G36">IF(C6=0,"",100*D6/C6)</f>
        <v>27.48820987107523</v>
      </c>
      <c r="H6" s="30">
        <f>IF($D$6=0,"",100*$D6/$D$6)</f>
        <v>100</v>
      </c>
      <c r="I6" s="34"/>
      <c r="J6" s="34"/>
      <c r="K6" s="34"/>
      <c r="L6" s="34"/>
      <c r="M6" s="34"/>
    </row>
    <row r="7" spans="2:13" ht="22.5" customHeight="1">
      <c r="B7" s="17" t="s">
        <v>26</v>
      </c>
      <c r="C7" s="20">
        <f>6521518073</f>
        <v>6521518073</v>
      </c>
      <c r="D7" s="20">
        <f>1828281498.29</f>
        <v>1828281498.29</v>
      </c>
      <c r="E7" s="20">
        <f>1845244121.7</f>
        <v>1845244121.7</v>
      </c>
      <c r="F7" s="31">
        <f t="shared" si="0"/>
        <v>35.51540159781537</v>
      </c>
      <c r="G7" s="31">
        <f t="shared" si="1"/>
        <v>28.03459988647953</v>
      </c>
      <c r="H7" s="31">
        <f>IF($D$6=0,"",100*$D7/$D$6)</f>
        <v>68.93413906304802</v>
      </c>
      <c r="I7" s="34"/>
      <c r="J7" s="34"/>
      <c r="K7" s="34"/>
      <c r="L7" s="34"/>
      <c r="M7" s="34"/>
    </row>
    <row r="8" spans="2:13" ht="22.5" customHeight="1">
      <c r="B8" s="29" t="s">
        <v>19</v>
      </c>
      <c r="C8" s="21">
        <f>1796041095</f>
        <v>1796041095</v>
      </c>
      <c r="D8" s="21">
        <f>409949026</f>
        <v>409949026</v>
      </c>
      <c r="E8" s="21">
        <f>382483982</f>
        <v>382483982</v>
      </c>
      <c r="F8" s="31">
        <f t="shared" si="0"/>
        <v>7.963491566610954</v>
      </c>
      <c r="G8" s="31">
        <f t="shared" si="1"/>
        <v>22.825147327711896</v>
      </c>
      <c r="H8" s="31">
        <f>IF($D$6=0,"",100*$D8/$D$6)</f>
        <v>15.456855628346245</v>
      </c>
      <c r="I8" s="34"/>
      <c r="J8" s="34"/>
      <c r="K8" s="34"/>
      <c r="L8" s="34"/>
      <c r="M8" s="34"/>
    </row>
    <row r="9" spans="2:13" ht="12.75">
      <c r="B9" s="29" t="s">
        <v>20</v>
      </c>
      <c r="C9" s="21">
        <f>194467638.83</f>
        <v>194467638.83</v>
      </c>
      <c r="D9" s="72">
        <f>47785544.08</f>
        <v>47785544.08</v>
      </c>
      <c r="E9" s="21">
        <f>47785544.08</f>
        <v>47785544.08</v>
      </c>
      <c r="F9" s="31">
        <f t="shared" si="0"/>
        <v>0.9282612060334448</v>
      </c>
      <c r="G9" s="31">
        <f t="shared" si="1"/>
        <v>24.57249152995231</v>
      </c>
      <c r="H9" s="31">
        <f>IF($D$6=0,"",100*$D9/$D$6)</f>
        <v>1.801722187691051</v>
      </c>
      <c r="I9" s="34"/>
      <c r="J9" s="34"/>
      <c r="K9" s="34"/>
      <c r="L9" s="34"/>
      <c r="M9" s="34"/>
    </row>
    <row r="10" spans="2:13" ht="12.75">
      <c r="B10" s="29" t="s">
        <v>21</v>
      </c>
      <c r="C10" s="21">
        <f>C6-C7-C8-C9</f>
        <v>1136527606.8600006</v>
      </c>
      <c r="D10" s="21">
        <f>D6-D7-D8-D9</f>
        <v>366198818.3899998</v>
      </c>
      <c r="E10" s="21">
        <f>E6-E7-E8-E9</f>
        <v>320570850.85000056</v>
      </c>
      <c r="F10" s="31">
        <f t="shared" si="0"/>
        <v>7.11361905260792</v>
      </c>
      <c r="G10" s="31">
        <f t="shared" si="1"/>
        <v>32.220846742274404</v>
      </c>
      <c r="H10" s="31">
        <f>IF($D$6=0,"",100*$D10/$D$6)</f>
        <v>13.807283120914677</v>
      </c>
      <c r="I10" s="34"/>
      <c r="J10" s="34"/>
      <c r="K10" s="34"/>
      <c r="L10" s="34"/>
      <c r="M10" s="34"/>
    </row>
    <row r="11" spans="2:13" ht="12.75">
      <c r="B11" s="69" t="s">
        <v>74</v>
      </c>
      <c r="C11" s="70">
        <f>C12+C25+C27</f>
        <v>7652493906.92</v>
      </c>
      <c r="D11" s="70">
        <f>D12+D25+D27</f>
        <v>1663453689.9699998</v>
      </c>
      <c r="E11" s="70">
        <f>E12+E25+E27</f>
        <v>1663453689.9699998</v>
      </c>
      <c r="F11" s="71">
        <f t="shared" si="0"/>
        <v>32.31352824710447</v>
      </c>
      <c r="G11" s="71">
        <f t="shared" si="1"/>
        <v>21.737406265240814</v>
      </c>
      <c r="H11" s="73"/>
      <c r="I11" s="34"/>
      <c r="J11" s="34"/>
      <c r="K11" s="34"/>
      <c r="L11" s="34"/>
      <c r="M11" s="34"/>
    </row>
    <row r="12" spans="2:13" ht="12.75">
      <c r="B12" s="69" t="s">
        <v>75</v>
      </c>
      <c r="C12" s="70">
        <f>C13+C15+C17+C19+C21+C23</f>
        <v>1416737208.48</v>
      </c>
      <c r="D12" s="70">
        <f>D13+D15+D17+D19+D21+D23</f>
        <v>394597463.70000005</v>
      </c>
      <c r="E12" s="70">
        <f>E13+E15+E17+E19+E21+E23</f>
        <v>394597463.70000005</v>
      </c>
      <c r="F12" s="71">
        <f t="shared" si="0"/>
        <v>7.665278790980766</v>
      </c>
      <c r="G12" s="71">
        <f t="shared" si="1"/>
        <v>27.852551717997077</v>
      </c>
      <c r="H12" s="26"/>
      <c r="I12" s="34"/>
      <c r="J12" s="34"/>
      <c r="K12" s="34"/>
      <c r="L12" s="34"/>
      <c r="M12" s="34"/>
    </row>
    <row r="13" spans="2:13" ht="22.5" customHeight="1">
      <c r="B13" s="29" t="s">
        <v>9</v>
      </c>
      <c r="C13" s="21">
        <f>997424231.01</f>
        <v>997424231.01</v>
      </c>
      <c r="D13" s="21">
        <f>343865038.41</f>
        <v>343865038.41</v>
      </c>
      <c r="E13" s="21">
        <f>343865038.41</f>
        <v>343865038.41</v>
      </c>
      <c r="F13" s="31">
        <f t="shared" si="0"/>
        <v>6.679772751625922</v>
      </c>
      <c r="G13" s="31">
        <f t="shared" si="1"/>
        <v>34.47530426063536</v>
      </c>
      <c r="H13" s="26"/>
      <c r="I13" s="34"/>
      <c r="J13" s="34"/>
      <c r="K13" s="34"/>
      <c r="L13" s="34"/>
      <c r="M13" s="34"/>
    </row>
    <row r="14" spans="2:13" ht="11.25" customHeight="1">
      <c r="B14" s="76" t="s">
        <v>6</v>
      </c>
      <c r="C14" s="21">
        <f>10107300</f>
        <v>10107300</v>
      </c>
      <c r="D14" s="21">
        <f>5811323.85</f>
        <v>5811323.85</v>
      </c>
      <c r="E14" s="21">
        <f>5811323.85</f>
        <v>5811323.85</v>
      </c>
      <c r="F14" s="31">
        <f t="shared" si="0"/>
        <v>0.11288825081955457</v>
      </c>
      <c r="G14" s="31">
        <f t="shared" si="1"/>
        <v>57.4963031670179</v>
      </c>
      <c r="H14" s="26"/>
      <c r="I14" s="34"/>
      <c r="J14" s="34"/>
      <c r="K14" s="34"/>
      <c r="L14" s="34"/>
      <c r="M14" s="34"/>
    </row>
    <row r="15" spans="2:13" ht="11.25" customHeight="1">
      <c r="B15" s="29" t="s">
        <v>7</v>
      </c>
      <c r="C15" s="21">
        <f>81878395</f>
        <v>81878395</v>
      </c>
      <c r="D15" s="21">
        <f>7291086.66</f>
        <v>7291086.66</v>
      </c>
      <c r="E15" s="21">
        <f>7291086.66</f>
        <v>7291086.66</v>
      </c>
      <c r="F15" s="31">
        <f t="shared" si="0"/>
        <v>0.14163347988620328</v>
      </c>
      <c r="G15" s="31">
        <f t="shared" si="1"/>
        <v>8.904774769949997</v>
      </c>
      <c r="H15" s="26"/>
      <c r="I15" s="34"/>
      <c r="J15" s="34"/>
      <c r="K15" s="34"/>
      <c r="L15" s="34"/>
      <c r="M15" s="34"/>
    </row>
    <row r="16" spans="2:13" ht="10.5" customHeight="1">
      <c r="B16" s="76" t="s">
        <v>6</v>
      </c>
      <c r="C16" s="21">
        <f>54494469</f>
        <v>54494469</v>
      </c>
      <c r="D16" s="21">
        <f>1006637.08</f>
        <v>1006637.08</v>
      </c>
      <c r="E16" s="21">
        <f>1006637.08</f>
        <v>1006637.08</v>
      </c>
      <c r="F16" s="31">
        <f t="shared" si="0"/>
        <v>0.019554494312221823</v>
      </c>
      <c r="G16" s="31">
        <f t="shared" si="1"/>
        <v>1.8472279819810704</v>
      </c>
      <c r="H16" s="26"/>
      <c r="I16" s="34"/>
      <c r="J16" s="34"/>
      <c r="K16" s="34"/>
      <c r="L16" s="34"/>
      <c r="M16" s="34"/>
    </row>
    <row r="17" spans="2:13" ht="35.25" customHeight="1">
      <c r="B17" s="29" t="s">
        <v>10</v>
      </c>
      <c r="C17" s="21">
        <f>78324669</f>
        <v>78324669</v>
      </c>
      <c r="D17" s="21">
        <f>8633798.25</f>
        <v>8633798.25</v>
      </c>
      <c r="E17" s="21">
        <f>8633798.25</f>
        <v>8633798.25</v>
      </c>
      <c r="F17" s="31">
        <f t="shared" si="0"/>
        <v>0.16771641153184594</v>
      </c>
      <c r="G17" s="31">
        <f t="shared" si="1"/>
        <v>11.023089353879044</v>
      </c>
      <c r="H17" s="26"/>
      <c r="I17" s="34"/>
      <c r="J17" s="34"/>
      <c r="K17" s="34"/>
      <c r="L17" s="34"/>
      <c r="M17" s="34"/>
    </row>
    <row r="18" spans="2:13" ht="9.75" customHeight="1">
      <c r="B18" s="76" t="s">
        <v>6</v>
      </c>
      <c r="C18" s="21">
        <f>613970</f>
        <v>613970</v>
      </c>
      <c r="D18" s="21">
        <f>0</f>
        <v>0</v>
      </c>
      <c r="E18" s="21">
        <f>0</f>
        <v>0</v>
      </c>
      <c r="F18" s="31">
        <f t="shared" si="0"/>
        <v>0</v>
      </c>
      <c r="G18" s="31">
        <f t="shared" si="1"/>
        <v>0</v>
      </c>
      <c r="H18" s="26"/>
      <c r="I18" s="34"/>
      <c r="J18" s="34"/>
      <c r="K18" s="34"/>
      <c r="L18" s="34"/>
      <c r="M18" s="34"/>
    </row>
    <row r="19" spans="2:13" ht="33.75" customHeight="1">
      <c r="B19" s="29" t="s">
        <v>11</v>
      </c>
      <c r="C19" s="21">
        <f>67719950.22</f>
        <v>67719950.22</v>
      </c>
      <c r="D19" s="21">
        <f>9720987.73</f>
        <v>9720987.73</v>
      </c>
      <c r="E19" s="21">
        <f>9720987.73</f>
        <v>9720987.73</v>
      </c>
      <c r="F19" s="31">
        <f t="shared" si="0"/>
        <v>0.18883568174884152</v>
      </c>
      <c r="G19" s="31">
        <f t="shared" si="1"/>
        <v>14.354688239462206</v>
      </c>
      <c r="H19" s="26"/>
      <c r="I19" s="34"/>
      <c r="J19" s="34"/>
      <c r="K19" s="34"/>
      <c r="L19" s="34"/>
      <c r="M19" s="34"/>
    </row>
    <row r="20" spans="2:13" ht="11.25" customHeight="1">
      <c r="B20" s="76" t="s">
        <v>6</v>
      </c>
      <c r="C20" s="21">
        <f>17593727.22</f>
        <v>17593727.22</v>
      </c>
      <c r="D20" s="21">
        <f>648006.36</f>
        <v>648006.36</v>
      </c>
      <c r="E20" s="21">
        <f>648006.36</f>
        <v>648006.36</v>
      </c>
      <c r="F20" s="31">
        <f t="shared" si="0"/>
        <v>0.012587889848944931</v>
      </c>
      <c r="G20" s="31">
        <f t="shared" si="1"/>
        <v>3.6831670282085915</v>
      </c>
      <c r="H20" s="26"/>
      <c r="I20" s="34"/>
      <c r="J20" s="34"/>
      <c r="K20" s="34"/>
      <c r="L20" s="34"/>
      <c r="M20" s="34"/>
    </row>
    <row r="21" spans="2:13" ht="45" customHeight="1">
      <c r="B21" s="29" t="s">
        <v>61</v>
      </c>
      <c r="C21" s="21">
        <f>136954677.84</f>
        <v>136954677.84</v>
      </c>
      <c r="D21" s="21">
        <f>14200057.82</f>
        <v>14200057.82</v>
      </c>
      <c r="E21" s="21">
        <f>14200057.82</f>
        <v>14200057.82</v>
      </c>
      <c r="F21" s="31">
        <f t="shared" si="0"/>
        <v>0.2758441501821203</v>
      </c>
      <c r="G21" s="31">
        <f t="shared" si="1"/>
        <v>10.368435780331284</v>
      </c>
      <c r="H21" s="26"/>
      <c r="I21" s="34"/>
      <c r="J21" s="34"/>
      <c r="K21" s="34"/>
      <c r="L21" s="34"/>
      <c r="M21" s="34"/>
    </row>
    <row r="22" spans="2:13" ht="12.75">
      <c r="B22" s="76" t="s">
        <v>6</v>
      </c>
      <c r="C22" s="21">
        <f>100004056.92</f>
        <v>100004056.92</v>
      </c>
      <c r="D22" s="21">
        <f>7149411.29</f>
        <v>7149411.29</v>
      </c>
      <c r="E22" s="21">
        <f>7149411.29</f>
        <v>7149411.29</v>
      </c>
      <c r="F22" s="31">
        <f t="shared" si="0"/>
        <v>0.13888135573750124</v>
      </c>
      <c r="G22" s="31">
        <f t="shared" si="1"/>
        <v>7.149121255869947</v>
      </c>
      <c r="H22" s="26"/>
      <c r="I22" s="34"/>
      <c r="J22" s="34"/>
      <c r="K22" s="34"/>
      <c r="L22" s="34"/>
      <c r="M22" s="34"/>
    </row>
    <row r="23" spans="2:13" ht="21.75" customHeight="1">
      <c r="B23" s="29" t="s">
        <v>8</v>
      </c>
      <c r="C23" s="21">
        <f>54435285.41</f>
        <v>54435285.41</v>
      </c>
      <c r="D23" s="21">
        <f>10886494.83</f>
        <v>10886494.83</v>
      </c>
      <c r="E23" s="21">
        <f>10886494.83</f>
        <v>10886494.83</v>
      </c>
      <c r="F23" s="31">
        <f t="shared" si="0"/>
        <v>0.21147631600583128</v>
      </c>
      <c r="G23" s="31">
        <f t="shared" si="1"/>
        <v>19.99896711848617</v>
      </c>
      <c r="H23" s="26"/>
      <c r="I23" s="34"/>
      <c r="J23" s="34"/>
      <c r="K23" s="34"/>
      <c r="L23" s="34"/>
      <c r="M23" s="34"/>
    </row>
    <row r="24" spans="2:13" ht="12.75">
      <c r="B24" s="76" t="s">
        <v>6</v>
      </c>
      <c r="C24" s="21">
        <f>3948572</f>
        <v>3948572</v>
      </c>
      <c r="D24" s="21">
        <f>20000</f>
        <v>20000</v>
      </c>
      <c r="E24" s="21">
        <f>20000</f>
        <v>20000</v>
      </c>
      <c r="F24" s="31">
        <f t="shared" si="0"/>
        <v>0.0003885113056280784</v>
      </c>
      <c r="G24" s="31">
        <f t="shared" si="1"/>
        <v>0.5065122277116891</v>
      </c>
      <c r="H24" s="26"/>
      <c r="I24" s="34"/>
      <c r="J24" s="34"/>
      <c r="K24" s="34"/>
      <c r="L24" s="34"/>
      <c r="M24" s="34"/>
    </row>
    <row r="25" spans="2:13" ht="13.5" customHeight="1">
      <c r="B25" s="69" t="s">
        <v>52</v>
      </c>
      <c r="C25" s="70">
        <f>1153968777.19</f>
        <v>1153968777.19</v>
      </c>
      <c r="D25" s="70">
        <f>356220386.34</f>
        <v>356220386.34</v>
      </c>
      <c r="E25" s="70">
        <f>356220386.34</f>
        <v>356220386.34</v>
      </c>
      <c r="F25" s="71">
        <f t="shared" si="0"/>
        <v>6.9197823694145955</v>
      </c>
      <c r="G25" s="71">
        <f t="shared" si="1"/>
        <v>30.86915290788224</v>
      </c>
      <c r="H25" s="26"/>
      <c r="I25" s="34"/>
      <c r="J25" s="34"/>
      <c r="K25" s="34"/>
      <c r="L25" s="34"/>
      <c r="M25" s="34"/>
    </row>
    <row r="26" spans="2:13" ht="14.25" customHeight="1">
      <c r="B26" s="28" t="s">
        <v>53</v>
      </c>
      <c r="C26" s="20">
        <f>549994787.06</f>
        <v>549994787.06</v>
      </c>
      <c r="D26" s="20">
        <f>165905598.9</f>
        <v>165905598.9</v>
      </c>
      <c r="E26" s="20">
        <f>165905598.9</f>
        <v>165905598.9</v>
      </c>
      <c r="F26" s="31">
        <f t="shared" si="0"/>
        <v>3.2228100419823646</v>
      </c>
      <c r="G26" s="31">
        <f t="shared" si="1"/>
        <v>30.16494025095206</v>
      </c>
      <c r="H26" s="26"/>
      <c r="I26" s="34"/>
      <c r="J26" s="34"/>
      <c r="K26" s="34"/>
      <c r="L26" s="34"/>
      <c r="M26" s="34"/>
    </row>
    <row r="27" spans="2:13" ht="14.25" customHeight="1">
      <c r="B27" s="69" t="s">
        <v>69</v>
      </c>
      <c r="C27" s="70">
        <f>5081787921.25</f>
        <v>5081787921.25</v>
      </c>
      <c r="D27" s="70">
        <f>912635839.93</f>
        <v>912635839.93</v>
      </c>
      <c r="E27" s="70">
        <f>912635839.93</f>
        <v>912635839.93</v>
      </c>
      <c r="F27" s="75">
        <f t="shared" si="0"/>
        <v>17.728467086709117</v>
      </c>
      <c r="G27" s="75">
        <f t="shared" si="1"/>
        <v>17.958951732592435</v>
      </c>
      <c r="H27" s="26"/>
      <c r="I27" s="34"/>
      <c r="J27" s="34"/>
      <c r="K27" s="34"/>
      <c r="L27" s="34"/>
      <c r="M27" s="34"/>
    </row>
    <row r="28" spans="2:13" ht="14.25" customHeight="1">
      <c r="B28" s="28" t="s">
        <v>70</v>
      </c>
      <c r="C28" s="20">
        <f>3466846271.5</f>
        <v>3466846271.5</v>
      </c>
      <c r="D28" s="20">
        <f>484585561.08</f>
        <v>484585561.08</v>
      </c>
      <c r="E28" s="20">
        <f>484585561.08</f>
        <v>484585561.08</v>
      </c>
      <c r="F28" s="31">
        <f t="shared" si="0"/>
        <v>9.413348451185287</v>
      </c>
      <c r="G28" s="31">
        <f>IF(C27=0,"",100*D28/C28)</f>
        <v>13.97770547438593</v>
      </c>
      <c r="H28" s="26"/>
      <c r="I28" s="34"/>
      <c r="J28" s="34"/>
      <c r="K28" s="34"/>
      <c r="L28" s="34"/>
      <c r="M28" s="34"/>
    </row>
    <row r="29" spans="2:13" s="5" customFormat="1" ht="22.5" customHeight="1">
      <c r="B29" s="54" t="s">
        <v>45</v>
      </c>
      <c r="C29" s="22">
        <f>C30+C31+C32+C33</f>
        <v>3302040374</v>
      </c>
      <c r="D29" s="22">
        <f>D30+D31+D32+D33</f>
        <v>832186765</v>
      </c>
      <c r="E29" s="22">
        <f>E30+E31+E32+E33</f>
        <v>783808979</v>
      </c>
      <c r="F29" s="30">
        <f t="shared" si="0"/>
        <v>16.165698329827844</v>
      </c>
      <c r="G29" s="30">
        <f t="shared" si="1"/>
        <v>25.202198360521923</v>
      </c>
      <c r="H29" s="27"/>
      <c r="I29" s="55"/>
      <c r="J29" s="55"/>
      <c r="K29" s="55"/>
      <c r="L29" s="55"/>
      <c r="M29" s="55"/>
    </row>
    <row r="30" spans="2:13" ht="12.75">
      <c r="B30" s="29" t="s">
        <v>32</v>
      </c>
      <c r="C30" s="21">
        <f>657574963</f>
        <v>657574963</v>
      </c>
      <c r="D30" s="21">
        <f>253767910</f>
        <v>253767910</v>
      </c>
      <c r="E30" s="21">
        <f>205390124</f>
        <v>205390124</v>
      </c>
      <c r="F30" s="31">
        <f t="shared" si="0"/>
        <v>4.929585102030435</v>
      </c>
      <c r="G30" s="31">
        <f t="shared" si="1"/>
        <v>38.59147994964036</v>
      </c>
      <c r="H30" s="27"/>
      <c r="I30" s="34"/>
      <c r="J30" s="34"/>
      <c r="K30" s="34"/>
      <c r="L30" s="34"/>
      <c r="M30" s="34"/>
    </row>
    <row r="31" spans="2:13" ht="12.75">
      <c r="B31" s="29" t="s">
        <v>43</v>
      </c>
      <c r="C31" s="21">
        <f>574940966</f>
        <v>574940966</v>
      </c>
      <c r="D31" s="21">
        <f>143735241</f>
        <v>143735241</v>
      </c>
      <c r="E31" s="21">
        <f>143735241</f>
        <v>143735241</v>
      </c>
      <c r="F31" s="31">
        <f t="shared" si="0"/>
        <v>2.7921383072838255</v>
      </c>
      <c r="G31" s="31">
        <f t="shared" si="1"/>
        <v>24.99999991303455</v>
      </c>
      <c r="H31" s="27"/>
      <c r="I31" s="34"/>
      <c r="J31" s="34"/>
      <c r="K31" s="34"/>
      <c r="L31" s="34"/>
      <c r="M31" s="34"/>
    </row>
    <row r="32" spans="2:13" ht="12.75">
      <c r="B32" s="29" t="s">
        <v>33</v>
      </c>
      <c r="C32" s="21">
        <f>1738734445</f>
        <v>1738734445</v>
      </c>
      <c r="D32" s="21">
        <f>434683614</f>
        <v>434683614</v>
      </c>
      <c r="E32" s="21">
        <f>434683614</f>
        <v>434683614</v>
      </c>
      <c r="F32" s="31">
        <f t="shared" si="0"/>
        <v>8.443974920513584</v>
      </c>
      <c r="G32" s="31">
        <f t="shared" si="1"/>
        <v>25.00000015816101</v>
      </c>
      <c r="H32" s="27"/>
      <c r="I32" s="34"/>
      <c r="J32" s="34"/>
      <c r="K32" s="34"/>
      <c r="L32" s="34"/>
      <c r="M32" s="34"/>
    </row>
    <row r="33" spans="2:13" s="5" customFormat="1" ht="14.25" customHeight="1">
      <c r="B33" s="29" t="s">
        <v>31</v>
      </c>
      <c r="C33" s="21">
        <f>330790000</f>
        <v>330790000</v>
      </c>
      <c r="D33" s="21">
        <f>0</f>
        <v>0</v>
      </c>
      <c r="E33" s="21">
        <f>0</f>
        <v>0</v>
      </c>
      <c r="F33" s="31">
        <f t="shared" si="0"/>
        <v>0</v>
      </c>
      <c r="G33" s="31">
        <f t="shared" si="1"/>
        <v>0</v>
      </c>
      <c r="H33" s="27"/>
      <c r="I33" s="55"/>
      <c r="J33" s="55"/>
      <c r="K33" s="55"/>
      <c r="L33" s="55"/>
      <c r="M33" s="55"/>
    </row>
    <row r="34" spans="2:13" s="5" customFormat="1" ht="12.75">
      <c r="B34" s="77" t="s">
        <v>60</v>
      </c>
      <c r="C34" s="74">
        <f>+C5</f>
        <v>20603088694.61</v>
      </c>
      <c r="D34" s="74">
        <f>+D5</f>
        <v>5147855341.73</v>
      </c>
      <c r="E34" s="74">
        <f>+E5</f>
        <v>5043347167.6</v>
      </c>
      <c r="F34" s="75">
        <f>IF($D$5=0,"",100*$D34/$D$34)</f>
        <v>100</v>
      </c>
      <c r="G34" s="75">
        <f t="shared" si="1"/>
        <v>24.985842744426645</v>
      </c>
      <c r="H34" s="75"/>
      <c r="I34" s="55"/>
      <c r="J34" s="55"/>
      <c r="K34" s="55"/>
      <c r="L34" s="55"/>
      <c r="M34" s="55"/>
    </row>
    <row r="35" spans="2:13" s="5" customFormat="1" ht="12.75">
      <c r="B35" s="29" t="s">
        <v>54</v>
      </c>
      <c r="C35" s="21">
        <f>4628752315.29</f>
        <v>4628752315.29</v>
      </c>
      <c r="D35" s="21">
        <f>791156587.2</f>
        <v>791156587.2</v>
      </c>
      <c r="E35" s="21">
        <f>745416587.2</f>
        <v>745416587.2</v>
      </c>
      <c r="F35" s="31">
        <f>IF($D$5=0,"",100*$D35/$D$34)</f>
        <v>15.368663932466335</v>
      </c>
      <c r="G35" s="31">
        <f t="shared" si="1"/>
        <v>17.09222125769399</v>
      </c>
      <c r="H35" s="31">
        <f>IF($D$6=0,"",100*$D35/$D$6)</f>
        <v>29.830033424120213</v>
      </c>
      <c r="I35" s="55"/>
      <c r="J35" s="55"/>
      <c r="K35" s="55"/>
      <c r="L35" s="55"/>
      <c r="M35" s="55"/>
    </row>
    <row r="36" spans="1:13" s="5" customFormat="1" ht="12.75">
      <c r="A36" s="2"/>
      <c r="B36" s="29" t="s">
        <v>55</v>
      </c>
      <c r="C36" s="21">
        <f>C34-C35</f>
        <v>15974336379.32</v>
      </c>
      <c r="D36" s="21">
        <f>D34-D35</f>
        <v>4356698754.53</v>
      </c>
      <c r="E36" s="21">
        <f>E34-E35</f>
        <v>4297930580.400001</v>
      </c>
      <c r="F36" s="31">
        <f>IF($D$5=0,"",100*$D36/$D$34)</f>
        <v>84.63133606753368</v>
      </c>
      <c r="G36" s="31">
        <f t="shared" si="1"/>
        <v>27.27311264191281</v>
      </c>
      <c r="H36" s="31">
        <f>IF($D$6=0,"",100*$D36/$D$6)</f>
        <v>164.26643166354566</v>
      </c>
      <c r="I36" s="56"/>
      <c r="J36" s="56"/>
      <c r="K36" s="57"/>
      <c r="L36" s="57"/>
      <c r="M36" s="19"/>
    </row>
    <row r="37" spans="2:13" ht="21.75" customHeight="1">
      <c r="B37" s="105" t="s">
        <v>87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</row>
    <row r="38" spans="2:13" s="5" customFormat="1" ht="4.5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97" t="s">
        <v>0</v>
      </c>
      <c r="C39" s="98" t="s">
        <v>39</v>
      </c>
      <c r="D39" s="98" t="s">
        <v>40</v>
      </c>
      <c r="E39" s="98" t="s">
        <v>41</v>
      </c>
      <c r="F39" s="98" t="s">
        <v>12</v>
      </c>
      <c r="G39" s="98"/>
      <c r="H39" s="98"/>
      <c r="I39" s="98" t="s">
        <v>71</v>
      </c>
      <c r="J39" s="98"/>
      <c r="K39" s="98" t="s">
        <v>2</v>
      </c>
      <c r="L39" s="96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97"/>
      <c r="C40" s="98"/>
      <c r="D40" s="99"/>
      <c r="E40" s="98"/>
      <c r="F40" s="91" t="s">
        <v>42</v>
      </c>
      <c r="G40" s="106" t="s">
        <v>25</v>
      </c>
      <c r="H40" s="99"/>
      <c r="I40" s="98"/>
      <c r="J40" s="98"/>
      <c r="K40" s="98"/>
      <c r="L40" s="96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97"/>
      <c r="C41" s="98"/>
      <c r="D41" s="99"/>
      <c r="E41" s="98"/>
      <c r="F41" s="99"/>
      <c r="G41" s="15" t="s">
        <v>37</v>
      </c>
      <c r="H41" s="15" t="s">
        <v>38</v>
      </c>
      <c r="I41" s="98"/>
      <c r="J41" s="98"/>
      <c r="K41" s="98"/>
      <c r="L41" s="96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97"/>
      <c r="C42" s="90" t="s">
        <v>59</v>
      </c>
      <c r="D42" s="90"/>
      <c r="E42" s="90"/>
      <c r="F42" s="90"/>
      <c r="G42" s="90"/>
      <c r="H42" s="90"/>
      <c r="I42" s="90"/>
      <c r="J42" s="90"/>
      <c r="K42" s="90" t="s">
        <v>4</v>
      </c>
      <c r="L42" s="9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4">
        <v>1</v>
      </c>
      <c r="C43" s="16">
        <v>2</v>
      </c>
      <c r="D43" s="16">
        <v>3</v>
      </c>
      <c r="E43" s="16">
        <v>4</v>
      </c>
      <c r="F43" s="14">
        <v>5</v>
      </c>
      <c r="G43" s="14">
        <v>6</v>
      </c>
      <c r="H43" s="16">
        <v>7</v>
      </c>
      <c r="I43" s="99">
        <v>8</v>
      </c>
      <c r="J43" s="99"/>
      <c r="K43" s="14">
        <v>9</v>
      </c>
      <c r="L43" s="16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3" ht="25.5" customHeight="1">
      <c r="B44" s="69" t="s">
        <v>46</v>
      </c>
      <c r="C44" s="78">
        <f>23707950158.11</f>
        <v>23707950158.11</v>
      </c>
      <c r="D44" s="78">
        <f>14241694669.06</f>
        <v>14241694669.06</v>
      </c>
      <c r="E44" s="78">
        <f>3609525395.55</f>
        <v>3609525395.55</v>
      </c>
      <c r="F44" s="78">
        <f>298747715.21</f>
        <v>298747715.21</v>
      </c>
      <c r="G44" s="78">
        <f>485765.27</f>
        <v>485765.27</v>
      </c>
      <c r="H44" s="78">
        <f>7266237.74</f>
        <v>7266237.74</v>
      </c>
      <c r="I44" s="103">
        <f>0</f>
        <v>0</v>
      </c>
      <c r="J44" s="103"/>
      <c r="K44" s="53">
        <f aca="true" t="shared" si="2" ref="K44:K53">IF($E$44=0,"",100*$E44/$E$44)</f>
        <v>100</v>
      </c>
      <c r="L44" s="53">
        <f aca="true" t="shared" si="3" ref="L44:L53">IF(C44=0,"",100*E44/C44)</f>
        <v>15.224957752474673</v>
      </c>
      <c r="M44" s="34"/>
    </row>
    <row r="45" spans="2:13" ht="12.75">
      <c r="B45" s="54" t="s">
        <v>14</v>
      </c>
      <c r="C45" s="23">
        <f>9493602658.47</f>
        <v>9493602658.47</v>
      </c>
      <c r="D45" s="23">
        <f>5515143937.7</f>
        <v>5515143937.7</v>
      </c>
      <c r="E45" s="23">
        <f>755347294.93</f>
        <v>755347294.93</v>
      </c>
      <c r="F45" s="23">
        <f>74351584.83</f>
        <v>74351584.83</v>
      </c>
      <c r="G45" s="23">
        <f>485765.27</f>
        <v>485765.27</v>
      </c>
      <c r="H45" s="23">
        <f>7266040.84</f>
        <v>7266040.84</v>
      </c>
      <c r="I45" s="102">
        <f>0</f>
        <v>0</v>
      </c>
      <c r="J45" s="104"/>
      <c r="K45" s="32">
        <f t="shared" si="2"/>
        <v>20.92649897577197</v>
      </c>
      <c r="L45" s="32">
        <f t="shared" si="3"/>
        <v>7.956382019591841</v>
      </c>
      <c r="M45" s="34"/>
    </row>
    <row r="46" spans="2:13" ht="22.5" customHeight="1">
      <c r="B46" s="17" t="s">
        <v>13</v>
      </c>
      <c r="C46" s="20">
        <f>9247518567.47</f>
        <v>9247518567.47</v>
      </c>
      <c r="D46" s="20">
        <f>5450493342.7</f>
        <v>5450493342.7</v>
      </c>
      <c r="E46" s="20">
        <f>740086394.93</f>
        <v>740086394.93</v>
      </c>
      <c r="F46" s="20">
        <f>74351584.83</f>
        <v>74351584.83</v>
      </c>
      <c r="G46" s="20">
        <f>485765.27</f>
        <v>485765.27</v>
      </c>
      <c r="H46" s="20">
        <f>7266040.84</f>
        <v>7266040.84</v>
      </c>
      <c r="I46" s="100">
        <f>0</f>
        <v>0</v>
      </c>
      <c r="J46" s="101"/>
      <c r="K46" s="33">
        <f t="shared" si="2"/>
        <v>20.503703778962596</v>
      </c>
      <c r="L46" s="33">
        <f t="shared" si="3"/>
        <v>8.003080929552304</v>
      </c>
      <c r="M46" s="34"/>
    </row>
    <row r="47" spans="2:13" ht="25.5" customHeight="1">
      <c r="B47" s="54" t="s">
        <v>47</v>
      </c>
      <c r="C47" s="23">
        <f aca="true" t="shared" si="4" ref="C47:I47">C44-C45</f>
        <v>14214347499.640001</v>
      </c>
      <c r="D47" s="23">
        <f t="shared" si="4"/>
        <v>8726550731.36</v>
      </c>
      <c r="E47" s="23">
        <f t="shared" si="4"/>
        <v>2854178100.6200004</v>
      </c>
      <c r="F47" s="23">
        <f t="shared" si="4"/>
        <v>224396130.38</v>
      </c>
      <c r="G47" s="23">
        <f t="shared" si="4"/>
        <v>0</v>
      </c>
      <c r="H47" s="23">
        <f t="shared" si="4"/>
        <v>196.90000000037253</v>
      </c>
      <c r="I47" s="102">
        <f t="shared" si="4"/>
        <v>0</v>
      </c>
      <c r="J47" s="102"/>
      <c r="K47" s="32">
        <f t="shared" si="2"/>
        <v>79.07350102422804</v>
      </c>
      <c r="L47" s="32">
        <f t="shared" si="3"/>
        <v>20.079557649004197</v>
      </c>
      <c r="M47" s="34"/>
    </row>
    <row r="48" spans="2:13" ht="22.5">
      <c r="B48" s="17" t="s">
        <v>85</v>
      </c>
      <c r="C48" s="20">
        <f>3519569654.01</f>
        <v>3519569654.01</v>
      </c>
      <c r="D48" s="20">
        <f>2865459110.84</f>
        <v>2865459110.84</v>
      </c>
      <c r="E48" s="20">
        <f>908727508.56</f>
        <v>908727508.56</v>
      </c>
      <c r="F48" s="20">
        <f>44593583.74</f>
        <v>44593583.74</v>
      </c>
      <c r="G48" s="20">
        <f>0</f>
        <v>0</v>
      </c>
      <c r="H48" s="20">
        <f>0</f>
        <v>0</v>
      </c>
      <c r="I48" s="100">
        <f>0</f>
        <v>0</v>
      </c>
      <c r="J48" s="101"/>
      <c r="K48" s="33">
        <f t="shared" si="2"/>
        <v>25.175817011298044</v>
      </c>
      <c r="L48" s="33">
        <f t="shared" si="3"/>
        <v>25.81927899976768</v>
      </c>
      <c r="M48" s="34"/>
    </row>
    <row r="49" spans="2:13" ht="12.75">
      <c r="B49" s="29" t="s">
        <v>36</v>
      </c>
      <c r="C49" s="79">
        <f>5735429822.14</f>
        <v>5735429822.14</v>
      </c>
      <c r="D49" s="79">
        <f>3991944708.59</f>
        <v>3991944708.59</v>
      </c>
      <c r="E49" s="79">
        <f>1220884184.82</f>
        <v>1220884184.82</v>
      </c>
      <c r="F49" s="79">
        <f>14171749.18</f>
        <v>14171749.18</v>
      </c>
      <c r="G49" s="79">
        <f>0</f>
        <v>0</v>
      </c>
      <c r="H49" s="79">
        <f>0</f>
        <v>0</v>
      </c>
      <c r="I49" s="107">
        <f>0</f>
        <v>0</v>
      </c>
      <c r="J49" s="107"/>
      <c r="K49" s="80">
        <f t="shared" si="2"/>
        <v>33.82395331877055</v>
      </c>
      <c r="L49" s="80">
        <f t="shared" si="3"/>
        <v>21.286707756533307</v>
      </c>
      <c r="M49" s="34"/>
    </row>
    <row r="50" spans="2:13" ht="12.75">
      <c r="B50" s="29" t="s">
        <v>35</v>
      </c>
      <c r="C50" s="21">
        <f>140299371</f>
        <v>140299371</v>
      </c>
      <c r="D50" s="21">
        <f>24524537.67</f>
        <v>24524537.67</v>
      </c>
      <c r="E50" s="21">
        <f>10668656.73</f>
        <v>10668656.73</v>
      </c>
      <c r="F50" s="21">
        <f>857303.55</f>
        <v>857303.55</v>
      </c>
      <c r="G50" s="21">
        <f>0</f>
        <v>0</v>
      </c>
      <c r="H50" s="21">
        <f>0</f>
        <v>0</v>
      </c>
      <c r="I50" s="108">
        <f>0</f>
        <v>0</v>
      </c>
      <c r="J50" s="108"/>
      <c r="K50" s="80">
        <f t="shared" si="2"/>
        <v>0.29556951568072753</v>
      </c>
      <c r="L50" s="80">
        <f t="shared" si="3"/>
        <v>7.6042085249263165</v>
      </c>
      <c r="M50" s="34"/>
    </row>
    <row r="51" spans="2:13" ht="22.5" customHeight="1">
      <c r="B51" s="29" t="s">
        <v>50</v>
      </c>
      <c r="C51" s="79">
        <f>149559854.4</f>
        <v>149559854.4</v>
      </c>
      <c r="D51" s="79">
        <f>35248216.52</f>
        <v>35248216.52</v>
      </c>
      <c r="E51" s="79">
        <f>3230136.38</f>
        <v>3230136.38</v>
      </c>
      <c r="F51" s="79">
        <f>0</f>
        <v>0</v>
      </c>
      <c r="G51" s="79">
        <f>0</f>
        <v>0</v>
      </c>
      <c r="H51" s="79">
        <f>0</f>
        <v>0</v>
      </c>
      <c r="I51" s="107">
        <f>0</f>
        <v>0</v>
      </c>
      <c r="J51" s="107"/>
      <c r="K51" s="80">
        <f t="shared" si="2"/>
        <v>0.08948922714277811</v>
      </c>
      <c r="L51" s="80">
        <f t="shared" si="3"/>
        <v>2.1597616505836874</v>
      </c>
      <c r="M51" s="34"/>
    </row>
    <row r="52" spans="2:13" ht="22.5">
      <c r="B52" s="29" t="s">
        <v>51</v>
      </c>
      <c r="C52" s="79">
        <f>152627462.97</f>
        <v>152627462.97</v>
      </c>
      <c r="D52" s="79">
        <f>68889265.43</f>
        <v>68889265.43</v>
      </c>
      <c r="E52" s="79">
        <f>23409248.02</f>
        <v>23409248.02</v>
      </c>
      <c r="F52" s="79">
        <f>499978.5</f>
        <v>499978.5</v>
      </c>
      <c r="G52" s="79">
        <f>0</f>
        <v>0</v>
      </c>
      <c r="H52" s="79">
        <f>0</f>
        <v>0</v>
      </c>
      <c r="I52" s="109">
        <f>0</f>
        <v>0</v>
      </c>
      <c r="J52" s="110"/>
      <c r="K52" s="80">
        <f t="shared" si="2"/>
        <v>0.648540887088925</v>
      </c>
      <c r="L52" s="80">
        <f t="shared" si="3"/>
        <v>15.337507133038864</v>
      </c>
      <c r="M52" s="34"/>
    </row>
    <row r="53" spans="2:13" ht="12.75">
      <c r="B53" s="29" t="s">
        <v>34</v>
      </c>
      <c r="C53" s="21">
        <f aca="true" t="shared" si="5" ref="C53:I53">C47-C48-C49-C50-C51-C52</f>
        <v>4516861335.120001</v>
      </c>
      <c r="D53" s="21">
        <f t="shared" si="5"/>
        <v>1740484892.3100002</v>
      </c>
      <c r="E53" s="21">
        <f t="shared" si="5"/>
        <v>687258366.1100005</v>
      </c>
      <c r="F53" s="21">
        <f t="shared" si="5"/>
        <v>164273515.40999997</v>
      </c>
      <c r="G53" s="21">
        <f t="shared" si="5"/>
        <v>0</v>
      </c>
      <c r="H53" s="21">
        <f t="shared" si="5"/>
        <v>196.90000000037253</v>
      </c>
      <c r="I53" s="109">
        <f t="shared" si="5"/>
        <v>0</v>
      </c>
      <c r="J53" s="110"/>
      <c r="K53" s="80">
        <f t="shared" si="2"/>
        <v>19.040131064247014</v>
      </c>
      <c r="L53" s="80">
        <f t="shared" si="3"/>
        <v>15.215396602201468</v>
      </c>
      <c r="M53" s="34"/>
    </row>
    <row r="54" spans="2:13" ht="12.75">
      <c r="B54" s="54" t="s">
        <v>15</v>
      </c>
      <c r="C54" s="23">
        <f>C5-C44</f>
        <v>-3104861463.5</v>
      </c>
      <c r="D54" s="23"/>
      <c r="E54" s="23">
        <f>D5-E44</f>
        <v>1538329946.1799994</v>
      </c>
      <c r="F54" s="24"/>
      <c r="G54" s="24"/>
      <c r="H54" s="24"/>
      <c r="I54" s="111"/>
      <c r="J54" s="111"/>
      <c r="K54" s="25"/>
      <c r="L54" s="25"/>
      <c r="M54" s="58"/>
    </row>
    <row r="55" spans="2:13" ht="33.75">
      <c r="B55" s="59" t="s">
        <v>72</v>
      </c>
      <c r="C55" s="23">
        <f>+C36-C47</f>
        <v>1759988879.6799984</v>
      </c>
      <c r="D55" s="60"/>
      <c r="E55" s="23">
        <f>+D36-E47</f>
        <v>1502520653.9099994</v>
      </c>
      <c r="F55" s="61"/>
      <c r="G55" s="61"/>
      <c r="H55" s="61"/>
      <c r="I55" s="114"/>
      <c r="J55" s="115"/>
      <c r="K55" s="34"/>
      <c r="L55" s="62"/>
      <c r="M55" s="62"/>
    </row>
    <row r="56" spans="2:13" ht="6.75" customHeight="1" thickBot="1">
      <c r="B56" s="63"/>
      <c r="C56" s="64"/>
      <c r="D56" s="64"/>
      <c r="E56" s="64"/>
      <c r="F56" s="18"/>
      <c r="G56" s="18"/>
      <c r="H56" s="18"/>
      <c r="I56" s="18"/>
      <c r="J56" s="34"/>
      <c r="K56" s="34"/>
      <c r="L56" s="62"/>
      <c r="M56" s="62"/>
    </row>
    <row r="57" spans="2:13" ht="12" customHeight="1" thickBot="1">
      <c r="B57" s="65" t="s">
        <v>56</v>
      </c>
      <c r="C57" s="64"/>
      <c r="D57" s="64"/>
      <c r="E57" s="64"/>
      <c r="F57" s="18"/>
      <c r="G57" s="18"/>
      <c r="H57" s="18"/>
      <c r="I57" s="18"/>
      <c r="J57" s="34"/>
      <c r="K57" s="34"/>
      <c r="L57" s="62"/>
      <c r="M57" s="62"/>
    </row>
    <row r="58" spans="2:13" ht="23.25" customHeight="1">
      <c r="B58" s="82" t="s">
        <v>73</v>
      </c>
      <c r="C58" s="23">
        <f>8235123487.59</f>
        <v>8235123487.59</v>
      </c>
      <c r="D58" s="23">
        <f>5377744772.76</f>
        <v>5377744772.76</v>
      </c>
      <c r="E58" s="23">
        <f>1134791279.26</f>
        <v>1134791279.26</v>
      </c>
      <c r="F58" s="23">
        <f>68583933.49</f>
        <v>68583933.49</v>
      </c>
      <c r="G58" s="23">
        <f>485414.78</f>
        <v>485414.78</v>
      </c>
      <c r="H58" s="23">
        <f>6506229.64</f>
        <v>6506229.64</v>
      </c>
      <c r="I58" s="116">
        <f>0</f>
        <v>0</v>
      </c>
      <c r="J58" s="117"/>
      <c r="K58" s="33">
        <f>IF($E$44=0,"",100*$E58/$E$58)</f>
        <v>100</v>
      </c>
      <c r="L58" s="33">
        <f>IF(C58=0,"",100*E58/C58)</f>
        <v>13.7798939016529</v>
      </c>
      <c r="M58" s="62"/>
    </row>
    <row r="59" spans="2:13" ht="12.75">
      <c r="B59" s="81" t="s">
        <v>57</v>
      </c>
      <c r="C59" s="79">
        <f>5501731146.24</f>
        <v>5501731146.24</v>
      </c>
      <c r="D59" s="79">
        <f>3781391523.89</f>
        <v>3781391523.89</v>
      </c>
      <c r="E59" s="79">
        <f>563979014.09</f>
        <v>563979014.09</v>
      </c>
      <c r="F59" s="79">
        <f>58418918.05</f>
        <v>58418918.05</v>
      </c>
      <c r="G59" s="79">
        <f>485414.78</f>
        <v>485414.78</v>
      </c>
      <c r="H59" s="79">
        <f>6506229.64</f>
        <v>6506229.64</v>
      </c>
      <c r="I59" s="109">
        <f>0</f>
        <v>0</v>
      </c>
      <c r="J59" s="110"/>
      <c r="K59" s="80">
        <f>IF($E$44=0,"",100*$E59/$E$58)</f>
        <v>49.698920356329495</v>
      </c>
      <c r="L59" s="80">
        <f>IF(C59=0,"",100*E59/C59)</f>
        <v>10.250937370420859</v>
      </c>
      <c r="M59" s="34"/>
    </row>
    <row r="60" spans="2:13" ht="12.75" customHeight="1">
      <c r="B60" s="81" t="s">
        <v>58</v>
      </c>
      <c r="C60" s="79">
        <f aca="true" t="shared" si="6" ref="C60:I60">C58-C59</f>
        <v>2733392341.3500004</v>
      </c>
      <c r="D60" s="79">
        <f t="shared" si="6"/>
        <v>1596353248.8700004</v>
      </c>
      <c r="E60" s="79">
        <f t="shared" si="6"/>
        <v>570812265.17</v>
      </c>
      <c r="F60" s="79">
        <f t="shared" si="6"/>
        <v>10165015.439999998</v>
      </c>
      <c r="G60" s="79">
        <f t="shared" si="6"/>
        <v>0</v>
      </c>
      <c r="H60" s="79">
        <f t="shared" si="6"/>
        <v>0</v>
      </c>
      <c r="I60" s="118">
        <f t="shared" si="6"/>
        <v>0</v>
      </c>
      <c r="J60" s="119"/>
      <c r="K60" s="80">
        <f>IF($E$44=0,"",100*$E60/$E$58)</f>
        <v>50.3010796436705</v>
      </c>
      <c r="L60" s="80">
        <f>IF(C60=0,"",100*E60/C60)</f>
        <v>20.882924728181553</v>
      </c>
      <c r="M60" s="34"/>
    </row>
    <row r="61" spans="2:13" ht="23.25" customHeight="1">
      <c r="B61" s="105" t="s">
        <v>87</v>
      </c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</row>
    <row r="62" ht="6" customHeight="1"/>
    <row r="63" spans="2:8" ht="12.75">
      <c r="B63" s="37" t="s">
        <v>16</v>
      </c>
      <c r="C63" s="112" t="s">
        <v>17</v>
      </c>
      <c r="D63" s="113"/>
      <c r="E63" s="112" t="s">
        <v>1</v>
      </c>
      <c r="F63" s="113"/>
      <c r="G63" s="16" t="s">
        <v>22</v>
      </c>
      <c r="H63" s="16" t="s">
        <v>23</v>
      </c>
    </row>
    <row r="64" spans="2:8" ht="12.75">
      <c r="B64" s="37"/>
      <c r="C64" s="91" t="s">
        <v>59</v>
      </c>
      <c r="D64" s="92"/>
      <c r="E64" s="92"/>
      <c r="F64" s="93"/>
      <c r="G64" s="94" t="s">
        <v>4</v>
      </c>
      <c r="H64" s="95"/>
    </row>
    <row r="65" spans="2:8" ht="12.75">
      <c r="B65" s="35">
        <v>1</v>
      </c>
      <c r="C65" s="66">
        <v>2</v>
      </c>
      <c r="D65" s="67"/>
      <c r="E65" s="66">
        <v>3</v>
      </c>
      <c r="F65" s="67"/>
      <c r="G65" s="36">
        <v>4</v>
      </c>
      <c r="H65" s="36">
        <v>5</v>
      </c>
    </row>
    <row r="66" spans="2:8" ht="22.5">
      <c r="B66" s="68" t="s">
        <v>48</v>
      </c>
      <c r="C66" s="40">
        <f>4105733128.49</f>
        <v>4105733128.49</v>
      </c>
      <c r="D66" s="41"/>
      <c r="E66" s="40">
        <f>2927637753.63</f>
        <v>2927637753.63</v>
      </c>
      <c r="F66" s="41"/>
      <c r="G66" s="39">
        <f>IF($E$66=0,"",100*$E66/$E$66)</f>
        <v>100</v>
      </c>
      <c r="H66" s="32">
        <f>IF(C66=0,"",100*E66/C66)</f>
        <v>71.30608985067478</v>
      </c>
    </row>
    <row r="67" spans="2:8" ht="33.75">
      <c r="B67" s="38" t="s">
        <v>76</v>
      </c>
      <c r="C67" s="42">
        <f>2478164647</f>
        <v>2478164647</v>
      </c>
      <c r="D67" s="43"/>
      <c r="E67" s="42">
        <f>5798678.11</f>
        <v>5798678.11</v>
      </c>
      <c r="F67" s="43"/>
      <c r="G67" s="51">
        <f aca="true" t="shared" si="7" ref="G67:G74">IF($E$66=0,"",100*$E67/$E$66)</f>
        <v>0.1980667896091371</v>
      </c>
      <c r="H67" s="52">
        <f aca="true" t="shared" si="8" ref="H67:H79">IF(C67=0,"",100*E67/C67)</f>
        <v>0.23399083337823115</v>
      </c>
    </row>
    <row r="68" spans="2:8" ht="22.5">
      <c r="B68" s="83" t="s">
        <v>77</v>
      </c>
      <c r="C68" s="84">
        <f>281516966</f>
        <v>281516966</v>
      </c>
      <c r="D68" s="85"/>
      <c r="E68" s="84">
        <f>0</f>
        <v>0</v>
      </c>
      <c r="F68" s="85"/>
      <c r="G68" s="86">
        <f t="shared" si="7"/>
        <v>0</v>
      </c>
      <c r="H68" s="87">
        <f t="shared" si="8"/>
        <v>0</v>
      </c>
    </row>
    <row r="69" spans="2:8" ht="12.75">
      <c r="B69" s="88" t="s">
        <v>78</v>
      </c>
      <c r="C69" s="84">
        <f>70031289</f>
        <v>70031289</v>
      </c>
      <c r="D69" s="85"/>
      <c r="E69" s="84">
        <f>11030421.61</f>
        <v>11030421.61</v>
      </c>
      <c r="F69" s="85"/>
      <c r="G69" s="86">
        <f t="shared" si="7"/>
        <v>0.37676866259574965</v>
      </c>
      <c r="H69" s="87">
        <f t="shared" si="8"/>
        <v>15.750704817099683</v>
      </c>
    </row>
    <row r="70" spans="2:8" ht="12.75">
      <c r="B70" s="88" t="s">
        <v>79</v>
      </c>
      <c r="C70" s="84">
        <f>83838428</f>
        <v>83838428</v>
      </c>
      <c r="D70" s="85"/>
      <c r="E70" s="84">
        <f>129258859.54</f>
        <v>129258859.54</v>
      </c>
      <c r="F70" s="85"/>
      <c r="G70" s="86">
        <f t="shared" si="7"/>
        <v>4.415124766707595</v>
      </c>
      <c r="H70" s="87">
        <f t="shared" si="8"/>
        <v>154.17614884191292</v>
      </c>
    </row>
    <row r="71" spans="2:8" ht="46.5" customHeight="1">
      <c r="B71" s="88" t="s">
        <v>86</v>
      </c>
      <c r="C71" s="84">
        <f>466659916</f>
        <v>466659916</v>
      </c>
      <c r="D71" s="85"/>
      <c r="E71" s="84">
        <f>756982754.44</f>
        <v>756982754.44</v>
      </c>
      <c r="F71" s="85"/>
      <c r="G71" s="86">
        <f t="shared" si="7"/>
        <v>25.85643505592218</v>
      </c>
      <c r="H71" s="87">
        <f t="shared" si="8"/>
        <v>162.2129367631395</v>
      </c>
    </row>
    <row r="72" spans="2:8" ht="12.75">
      <c r="B72" s="88" t="s">
        <v>80</v>
      </c>
      <c r="C72" s="84">
        <f>0</f>
        <v>0</v>
      </c>
      <c r="D72" s="85"/>
      <c r="E72" s="84">
        <f>0</f>
        <v>0</v>
      </c>
      <c r="F72" s="85"/>
      <c r="G72" s="86">
        <f t="shared" si="7"/>
        <v>0</v>
      </c>
      <c r="H72" s="87">
        <f t="shared" si="8"/>
      </c>
    </row>
    <row r="73" spans="2:8" ht="33.75">
      <c r="B73" s="88" t="s">
        <v>84</v>
      </c>
      <c r="C73" s="84">
        <f>1007038848.49</f>
        <v>1007038848.49</v>
      </c>
      <c r="D73" s="85"/>
      <c r="E73" s="84">
        <f>2024567039.93</f>
        <v>2024567039.93</v>
      </c>
      <c r="F73" s="85"/>
      <c r="G73" s="86">
        <f t="shared" si="7"/>
        <v>69.15360472516534</v>
      </c>
      <c r="H73" s="87">
        <f t="shared" si="8"/>
        <v>201.04160261202716</v>
      </c>
    </row>
    <row r="74" spans="2:8" ht="12.75">
      <c r="B74" s="83" t="s">
        <v>62</v>
      </c>
      <c r="C74" s="84">
        <f>0</f>
        <v>0</v>
      </c>
      <c r="D74" s="85"/>
      <c r="E74" s="84">
        <f>0</f>
        <v>0</v>
      </c>
      <c r="F74" s="85"/>
      <c r="G74" s="86">
        <f t="shared" si="7"/>
        <v>0</v>
      </c>
      <c r="H74" s="87">
        <f t="shared" si="8"/>
      </c>
    </row>
    <row r="75" spans="2:8" ht="22.5">
      <c r="B75" s="68" t="s">
        <v>49</v>
      </c>
      <c r="C75" s="48">
        <f>968703618.99</f>
        <v>968703618.99</v>
      </c>
      <c r="D75" s="49"/>
      <c r="E75" s="48">
        <f>99275597.66</f>
        <v>99275597.66</v>
      </c>
      <c r="F75" s="49"/>
      <c r="G75" s="39">
        <f>IF($E$75=0,"",100*$E75/$E$75)</f>
        <v>100</v>
      </c>
      <c r="H75" s="32">
        <f t="shared" si="8"/>
        <v>10.248294288763757</v>
      </c>
    </row>
    <row r="76" spans="2:8" ht="33.75">
      <c r="B76" s="38" t="s">
        <v>81</v>
      </c>
      <c r="C76" s="42">
        <f>940897077</f>
        <v>940897077</v>
      </c>
      <c r="D76" s="46"/>
      <c r="E76" s="47">
        <f>98960022.35</f>
        <v>98960022.35</v>
      </c>
      <c r="F76" s="46"/>
      <c r="G76" s="51">
        <f>IF($E$75=0,"",100*$E76/$E$75)</f>
        <v>99.68212197414235</v>
      </c>
      <c r="H76" s="52">
        <f t="shared" si="8"/>
        <v>10.517624591366436</v>
      </c>
    </row>
    <row r="77" spans="2:8" ht="22.5">
      <c r="B77" s="88" t="s">
        <v>82</v>
      </c>
      <c r="C77" s="84">
        <f>8750000</f>
        <v>8750000</v>
      </c>
      <c r="D77" s="85"/>
      <c r="E77" s="84">
        <f>0</f>
        <v>0</v>
      </c>
      <c r="F77" s="85"/>
      <c r="G77" s="86">
        <f>IF($E$75=0,"",100*$E77/$E$75)</f>
        <v>0</v>
      </c>
      <c r="H77" s="87">
        <f t="shared" si="8"/>
        <v>0</v>
      </c>
    </row>
    <row r="78" spans="2:8" ht="12.75">
      <c r="B78" s="88" t="s">
        <v>83</v>
      </c>
      <c r="C78" s="84">
        <f>27806541.99</f>
        <v>27806541.99</v>
      </c>
      <c r="D78" s="85"/>
      <c r="E78" s="84">
        <f>315575.31</f>
        <v>315575.31</v>
      </c>
      <c r="F78" s="85"/>
      <c r="G78" s="86">
        <f>IF($E$75=0,"",100*$E78/$E$75)</f>
        <v>0.3178780258576587</v>
      </c>
      <c r="H78" s="87">
        <f t="shared" si="8"/>
        <v>1.1348959180666536</v>
      </c>
    </row>
    <row r="79" spans="2:8" ht="12.75">
      <c r="B79" s="88" t="s">
        <v>24</v>
      </c>
      <c r="C79" s="84">
        <f>0</f>
        <v>0</v>
      </c>
      <c r="D79" s="85"/>
      <c r="E79" s="84">
        <f>0</f>
        <v>0</v>
      </c>
      <c r="F79" s="85"/>
      <c r="G79" s="86">
        <f>IF($E$75=0,"",100*$E79/$E$75)</f>
        <v>0</v>
      </c>
      <c r="H79" s="87">
        <f t="shared" si="8"/>
      </c>
    </row>
    <row r="81" spans="2:8" ht="12.75">
      <c r="B81" s="37" t="s">
        <v>16</v>
      </c>
      <c r="C81" s="112" t="s">
        <v>17</v>
      </c>
      <c r="D81" s="113"/>
      <c r="E81" s="112" t="s">
        <v>1</v>
      </c>
      <c r="F81" s="113"/>
      <c r="G81" s="16" t="s">
        <v>22</v>
      </c>
      <c r="H81" s="16" t="s">
        <v>23</v>
      </c>
    </row>
    <row r="82" spans="2:8" ht="12.75">
      <c r="B82" s="37"/>
      <c r="C82" s="91" t="s">
        <v>59</v>
      </c>
      <c r="D82" s="92"/>
      <c r="E82" s="92"/>
      <c r="F82" s="93"/>
      <c r="G82" s="94" t="s">
        <v>4</v>
      </c>
      <c r="H82" s="95"/>
    </row>
    <row r="83" spans="2:8" ht="12.75">
      <c r="B83" s="35">
        <v>1</v>
      </c>
      <c r="C83" s="66">
        <v>2</v>
      </c>
      <c r="D83" s="67"/>
      <c r="E83" s="66">
        <v>3</v>
      </c>
      <c r="F83" s="67"/>
      <c r="G83" s="36">
        <v>4</v>
      </c>
      <c r="H83" s="36">
        <v>5</v>
      </c>
    </row>
    <row r="84" spans="2:8" ht="22.5">
      <c r="B84" s="50" t="s">
        <v>63</v>
      </c>
      <c r="C84" s="45">
        <f>3104897397.5</f>
        <v>3104897397.5</v>
      </c>
      <c r="D84" s="44"/>
      <c r="E84" s="45">
        <f>0</f>
        <v>0</v>
      </c>
      <c r="F84" s="41"/>
      <c r="G84" s="39"/>
      <c r="H84" s="32"/>
    </row>
    <row r="85" spans="2:8" ht="56.25">
      <c r="B85" s="89" t="s">
        <v>64</v>
      </c>
      <c r="C85" s="84">
        <f>281516966</f>
        <v>281516966</v>
      </c>
      <c r="D85" s="85"/>
      <c r="E85" s="84">
        <f>0</f>
        <v>0</v>
      </c>
      <c r="F85" s="85"/>
      <c r="G85" s="86"/>
      <c r="H85" s="87"/>
    </row>
    <row r="86" spans="2:8" ht="12.75">
      <c r="B86" s="89" t="s">
        <v>65</v>
      </c>
      <c r="C86" s="84">
        <f>1510613745.5</f>
        <v>1510613745.5</v>
      </c>
      <c r="D86" s="85"/>
      <c r="E86" s="84">
        <f>0</f>
        <v>0</v>
      </c>
      <c r="F86" s="85"/>
      <c r="G86" s="86"/>
      <c r="H86" s="87"/>
    </row>
    <row r="87" spans="2:8" ht="22.5">
      <c r="B87" s="89" t="s">
        <v>66</v>
      </c>
      <c r="C87" s="84">
        <f>0</f>
        <v>0</v>
      </c>
      <c r="D87" s="85"/>
      <c r="E87" s="84">
        <f>0</f>
        <v>0</v>
      </c>
      <c r="F87" s="85"/>
      <c r="G87" s="86"/>
      <c r="H87" s="87"/>
    </row>
    <row r="88" spans="2:8" ht="33.75">
      <c r="B88" s="89" t="s">
        <v>67</v>
      </c>
      <c r="C88" s="84">
        <f>30929778</f>
        <v>30929778</v>
      </c>
      <c r="D88" s="85"/>
      <c r="E88" s="84">
        <f>0</f>
        <v>0</v>
      </c>
      <c r="F88" s="85"/>
      <c r="G88" s="86"/>
      <c r="H88" s="87"/>
    </row>
    <row r="89" spans="2:8" ht="101.25">
      <c r="B89" s="89" t="s">
        <v>68</v>
      </c>
      <c r="C89" s="84">
        <f>817617024</f>
        <v>817617024</v>
      </c>
      <c r="D89" s="85"/>
      <c r="E89" s="84">
        <f>0</f>
        <v>0</v>
      </c>
      <c r="F89" s="85"/>
      <c r="G89" s="86"/>
      <c r="H89" s="87"/>
    </row>
  </sheetData>
  <sheetProtection/>
  <mergeCells count="42">
    <mergeCell ref="C81:D81"/>
    <mergeCell ref="E81:F81"/>
    <mergeCell ref="C82:F82"/>
    <mergeCell ref="G82:H82"/>
    <mergeCell ref="I55:J55"/>
    <mergeCell ref="I58:J58"/>
    <mergeCell ref="I59:J59"/>
    <mergeCell ref="I60:J60"/>
    <mergeCell ref="C63:D63"/>
    <mergeCell ref="E63:F63"/>
    <mergeCell ref="I49:J49"/>
    <mergeCell ref="I50:J50"/>
    <mergeCell ref="I51:J51"/>
    <mergeCell ref="I53:J53"/>
    <mergeCell ref="I54:J54"/>
    <mergeCell ref="I52:J52"/>
    <mergeCell ref="B1:M1"/>
    <mergeCell ref="B61:M61"/>
    <mergeCell ref="I39:J41"/>
    <mergeCell ref="D39:D41"/>
    <mergeCell ref="E39:E41"/>
    <mergeCell ref="F40:F41"/>
    <mergeCell ref="F39:H39"/>
    <mergeCell ref="G40:H40"/>
    <mergeCell ref="F3:H3"/>
    <mergeCell ref="B37:M37"/>
    <mergeCell ref="I43:J43"/>
    <mergeCell ref="I46:J46"/>
    <mergeCell ref="I47:J47"/>
    <mergeCell ref="I44:J44"/>
    <mergeCell ref="I45:J45"/>
    <mergeCell ref="I48:J48"/>
    <mergeCell ref="C42:J42"/>
    <mergeCell ref="C3:E3"/>
    <mergeCell ref="C64:F64"/>
    <mergeCell ref="G64:H64"/>
    <mergeCell ref="L39:L41"/>
    <mergeCell ref="B2:B3"/>
    <mergeCell ref="C39:C41"/>
    <mergeCell ref="B39:B42"/>
    <mergeCell ref="K39:K41"/>
    <mergeCell ref="K42:L42"/>
  </mergeCells>
  <printOptions/>
  <pageMargins left="0.1968503937007874" right="0.1968503937007874" top="0.35433070866141736" bottom="0.3937007874015748" header="0.31496062992125984" footer="0.1968503937007874"/>
  <pageSetup horizontalDpi="600" verticalDpi="600" orientation="landscape" paperSize="9" scale="85" r:id="rId3"/>
  <headerFooter alignWithMargins="0">
    <oddFooter>&amp;RStrona &amp;P z &amp;N</oddFooter>
  </headerFooter>
  <rowBreaks count="2" manualBreakCount="2">
    <brk id="36" max="255" man="1"/>
    <brk id="6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2015-04-29T09:53:24Z</cp:lastPrinted>
  <dcterms:created xsi:type="dcterms:W3CDTF">2001-05-17T08:58:03Z</dcterms:created>
  <dcterms:modified xsi:type="dcterms:W3CDTF">2021-05-31T09:41:58Z</dcterms:modified>
  <cp:category/>
  <cp:version/>
  <cp:contentType/>
  <cp:contentStatus/>
</cp:coreProperties>
</file>