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570" windowWidth="15180" windowHeight="8355" activeTab="0"/>
  </bookViews>
  <sheets>
    <sheet name=" BIP" sheetId="1" r:id="rId1"/>
  </sheets>
  <definedNames>
    <definedName name="_xlnm.Print_Area" localSheetId="0">' BIP'!$A$1:$P$36</definedName>
    <definedName name="_xlnm.Print_Titles" localSheetId="0">' BIP'!$A:$O,' BIP'!$3:$4</definedName>
  </definedNames>
  <calcPr fullCalcOnLoad="1"/>
</workbook>
</file>

<file path=xl/sharedStrings.xml><?xml version="1.0" encoding="utf-8"?>
<sst xmlns="http://schemas.openxmlformats.org/spreadsheetml/2006/main" count="52" uniqueCount="45">
  <si>
    <t>Dział wg klasyfikacji budżetowej</t>
  </si>
  <si>
    <t>Nazwa działu</t>
  </si>
  <si>
    <t>Rolnictwo i łowiectwo</t>
  </si>
  <si>
    <t>.050</t>
  </si>
  <si>
    <t>Rybołówstwo i rybactwo</t>
  </si>
  <si>
    <t>Handel</t>
  </si>
  <si>
    <t>Transport i łączność</t>
  </si>
  <si>
    <t>Gospodarka mieszkaniowa</t>
  </si>
  <si>
    <t>Działalność usługowa</t>
  </si>
  <si>
    <t>Informatyka</t>
  </si>
  <si>
    <t>Administracja publiczna</t>
  </si>
  <si>
    <t>Obrona narodowa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</si>
  <si>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</si>
  <si>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</si>
  <si>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</si>
  <si>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</si>
  <si>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</si>
  <si>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</si>
  <si>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</si>
  <si>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</si>
  <si>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</si>
  <si>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</si>
  <si>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Ogółem</t>
  </si>
  <si>
    <t>Szkolnictwo wyższe</t>
  </si>
  <si>
    <t>Nauka</t>
  </si>
  <si>
    <t>Turystyka</t>
  </si>
  <si>
    <t>Kultura fizyczna i sport</t>
  </si>
  <si>
    <t>Dochody od osób prawnych, od osób fizycznych i od  innych jednostek nieposiadających osobowości prawnej oraz wydatki związane z ich poborem</t>
  </si>
  <si>
    <t>Przetwórstwo przemysłowe</t>
  </si>
  <si>
    <t>Wytwarzanie i zaopatrywanie w energię elektryczna, gaz i wodę</t>
  </si>
  <si>
    <t>.020</t>
  </si>
  <si>
    <t>Leśnictwo</t>
  </si>
  <si>
    <t>dotacje bieżące:                         w tym współfinansowanie projektów z udziałem środków UE</t>
  </si>
  <si>
    <t>dotacje inwestycyjne:               w tym współfinansowanie projektów z udziałem środków UE</t>
  </si>
  <si>
    <t>pozostałe zmiany</t>
  </si>
  <si>
    <t>z tego:</t>
  </si>
  <si>
    <t>Wymiar sprawiedliwości</t>
  </si>
  <si>
    <t>Plan po zmianach                                                                                       kol. 3 + 7</t>
  </si>
  <si>
    <t xml:space="preserve">%            kol. 11 : 3       </t>
  </si>
  <si>
    <t>pozostałe wydatki</t>
  </si>
  <si>
    <t>Rodzina</t>
  </si>
  <si>
    <t xml:space="preserve"> .010 </t>
  </si>
  <si>
    <t>Zmiany</t>
  </si>
  <si>
    <t>Plan wydatków wg ustawy budżetowej po nowelizacji</t>
  </si>
  <si>
    <t>Budżet Wojewody Podkarpackiego wg stanu na 31.12.2023 r.  ( w zł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</si>
</sst>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.000\ _z_ł_-;\-* #,##0.000\ _z_ł_-;_-* &quot;-&quot;??\ _z_ł_-;_-@_-"/>
    <numFmt numFmtId="17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10" xfId="42" applyNumberFormat="1" applyFont="1" applyBorder="1" applyAlignment="1">
      <alignment horizontal="center" vertical="center"/>
    </xf>
    <xf numFmtId="164" fontId="4" fillId="0" borderId="11" xfId="42" applyNumberFormat="1" applyFont="1" applyBorder="1" applyAlignment="1">
      <alignment horizontal="center" vertical="center"/>
    </xf>
    <xf numFmtId="43" fontId="4" fillId="0" borderId="11" xfId="42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3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3" fillId="33" borderId="10" xfId="42" applyNumberFormat="1" applyFont="1" applyFill="1" applyBorder="1" applyAlignment="1">
      <alignment horizontal="center" vertical="center"/>
    </xf>
    <xf numFmtId="43" fontId="3" fillId="33" borderId="10" xfId="42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164" fontId="4" fillId="0" borderId="10" xfId="4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1" xfId="42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0" zoomScaleNormal="7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2" sqref="H32"/>
    </sheetView>
  </sheetViews>
  <sheetFormatPr defaultColWidth="9.140625" defaultRowHeight="12.75"/>
  <cols>
    <col min="1" max="1" width="16.140625" style="1" customWidth="1"/>
    <col min="2" max="2" width="36.28125" style="1" customWidth="1"/>
    <col min="3" max="3" width="26.140625" style="1" customWidth="1"/>
    <col min="4" max="4" width="26.8515625" style="1" customWidth="1"/>
    <col min="5" max="5" width="24.421875" style="1" customWidth="1"/>
    <col min="6" max="6" width="22.57421875" style="1" customWidth="1"/>
    <col min="7" max="7" width="28.28125" style="1" customWidth="1"/>
    <col min="8" max="8" width="29.28125" style="1" customWidth="1"/>
    <col min="9" max="9" width="27.421875" style="1" customWidth="1"/>
    <col min="10" max="10" width="27.140625" style="1" customWidth="1"/>
    <col min="11" max="11" width="33.8515625" style="1" customWidth="1"/>
    <col min="12" max="12" width="29.7109375" style="1" customWidth="1"/>
    <col min="13" max="13" width="29.00390625" style="1" customWidth="1"/>
    <col min="14" max="14" width="27.7109375" style="1" customWidth="1"/>
    <col min="15" max="15" width="15.421875" style="1" customWidth="1"/>
    <col min="16" max="16" width="8.7109375" style="1" customWidth="1"/>
    <col min="17" max="17" width="21.421875" style="4" customWidth="1"/>
    <col min="18" max="18" width="18.421875" style="4" customWidth="1"/>
    <col min="19" max="19" width="18.421875" style="1" customWidth="1"/>
    <col min="20" max="20" width="22.28125" style="1" customWidth="1"/>
    <col min="21" max="21" width="43.421875" style="1" customWidth="1"/>
    <col min="22" max="22" width="28.28125" style="1" customWidth="1"/>
    <col min="23" max="16384" width="9.140625" style="1" customWidth="1"/>
  </cols>
  <sheetData>
    <row r="1" spans="1:15" ht="20.2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40" t="s">
        <v>0</v>
      </c>
      <c r="B3" s="42" t="s">
        <v>1</v>
      </c>
      <c r="C3" s="43" t="s">
        <v>43</v>
      </c>
      <c r="D3" s="46" t="s">
        <v>35</v>
      </c>
      <c r="E3" s="46"/>
      <c r="F3" s="47"/>
      <c r="G3" s="44" t="s">
        <v>42</v>
      </c>
      <c r="H3" s="46" t="s">
        <v>35</v>
      </c>
      <c r="I3" s="46"/>
      <c r="J3" s="47"/>
      <c r="K3" s="43" t="s">
        <v>37</v>
      </c>
      <c r="L3" s="46" t="s">
        <v>35</v>
      </c>
      <c r="M3" s="46"/>
      <c r="N3" s="47"/>
      <c r="O3" s="49" t="s">
        <v>38</v>
      </c>
    </row>
    <row r="4" spans="1:19" ht="169.5" customHeight="1">
      <c r="A4" s="41"/>
      <c r="B4" s="42"/>
      <c r="C4" s="41"/>
      <c r="D4" s="9" t="s">
        <v>32</v>
      </c>
      <c r="E4" s="10" t="s">
        <v>33</v>
      </c>
      <c r="F4" s="9" t="s">
        <v>39</v>
      </c>
      <c r="G4" s="45"/>
      <c r="H4" s="9" t="s">
        <v>32</v>
      </c>
      <c r="I4" s="10" t="s">
        <v>33</v>
      </c>
      <c r="J4" s="9" t="s">
        <v>34</v>
      </c>
      <c r="K4" s="48"/>
      <c r="L4" s="9" t="s">
        <v>32</v>
      </c>
      <c r="M4" s="10" t="s">
        <v>33</v>
      </c>
      <c r="N4" s="9" t="s">
        <v>39</v>
      </c>
      <c r="O4" s="49"/>
      <c r="Q4" s="31"/>
      <c r="R4" s="31"/>
      <c r="S4" s="32"/>
    </row>
    <row r="5" spans="1:19" ht="18.75" customHeight="1">
      <c r="A5" s="12">
        <v>1</v>
      </c>
      <c r="B5" s="13">
        <v>2</v>
      </c>
      <c r="C5" s="8">
        <v>3</v>
      </c>
      <c r="D5" s="12">
        <v>4</v>
      </c>
      <c r="E5" s="12">
        <v>5</v>
      </c>
      <c r="F5" s="11">
        <v>6</v>
      </c>
      <c r="G5" s="13">
        <v>7</v>
      </c>
      <c r="H5" s="8">
        <v>8</v>
      </c>
      <c r="I5" s="12">
        <v>9</v>
      </c>
      <c r="J5" s="12">
        <v>10</v>
      </c>
      <c r="K5" s="12">
        <v>11</v>
      </c>
      <c r="L5" s="13">
        <v>12</v>
      </c>
      <c r="M5" s="8">
        <v>13</v>
      </c>
      <c r="N5" s="8">
        <v>14</v>
      </c>
      <c r="O5" s="7">
        <v>15</v>
      </c>
      <c r="Q5" s="31"/>
      <c r="R5" s="31"/>
      <c r="S5" s="32"/>
    </row>
    <row r="6" spans="1:22" ht="39.75" customHeight="1">
      <c r="A6" s="14" t="s">
        <v>41</v>
      </c>
      <c r="B6" s="15" t="s">
        <v>2</v>
      </c>
      <c r="C6" s="16">
        <f>D6+E6+F6</f>
        <v>215031000</v>
      </c>
      <c r="D6" s="17">
        <f>117000+681000+8310000+8810000+23168000</f>
        <v>41086000</v>
      </c>
      <c r="E6" s="17">
        <f>61640000</f>
        <v>61640000</v>
      </c>
      <c r="F6" s="17">
        <f>156000+109323000+300000+515000+1056000+955000</f>
        <v>112305000</v>
      </c>
      <c r="G6" s="18">
        <f>H6+I6+J6</f>
        <v>83115441.47</v>
      </c>
      <c r="H6" s="18">
        <f>-1740.16+31393334.07+8434.03+2073000+2549.81-28000+5936.55+28846262.5+96688-120000-32000+7235.57+9500000-81000+22773.33-21359.05-100865.18</f>
        <v>71571249.47</v>
      </c>
      <c r="I6" s="18">
        <f>1200000-9500000</f>
        <v>-8300000</v>
      </c>
      <c r="J6" s="18">
        <f>1740.16-75000+1868100+1187000+9959000+294000+179000+29575+28000+220000+50000+936800+2300000+43304.04+4866+24421+43723.68+88700+1348300+1015000+120000+32000+64662.12+81000</f>
        <v>19844192</v>
      </c>
      <c r="K6" s="19">
        <f>C6+G6</f>
        <v>298146441.47</v>
      </c>
      <c r="L6" s="20">
        <f aca="true" t="shared" si="0" ref="L6:L34">D6+H6</f>
        <v>112657249.47</v>
      </c>
      <c r="M6" s="20">
        <f>E6+I6</f>
        <v>53340000</v>
      </c>
      <c r="N6" s="20">
        <f>F6+J6</f>
        <v>132149192</v>
      </c>
      <c r="O6" s="21">
        <f>K6/C6%</f>
        <v>138.65277167943228</v>
      </c>
      <c r="Q6" s="31"/>
      <c r="R6" s="31"/>
      <c r="S6" s="31"/>
      <c r="T6" s="4"/>
      <c r="U6" s="4"/>
      <c r="V6" s="4"/>
    </row>
    <row r="7" spans="1:22" ht="42.75" customHeight="1">
      <c r="A7" s="14" t="s">
        <v>30</v>
      </c>
      <c r="B7" s="15" t="s">
        <v>31</v>
      </c>
      <c r="C7" s="16">
        <f aca="true" t="shared" si="1" ref="C7:C33">D7+E7+F7</f>
        <v>142000</v>
      </c>
      <c r="D7" s="17">
        <v>142000</v>
      </c>
      <c r="E7" s="17"/>
      <c r="F7" s="17"/>
      <c r="G7" s="18">
        <f>H7+I7+J7</f>
        <v>6118</v>
      </c>
      <c r="H7" s="18">
        <f>6118</f>
        <v>6118</v>
      </c>
      <c r="I7" s="18"/>
      <c r="J7" s="18"/>
      <c r="K7" s="19">
        <f aca="true" t="shared" si="2" ref="K7:K34">C7+G7</f>
        <v>148118</v>
      </c>
      <c r="L7" s="20">
        <f t="shared" si="0"/>
        <v>148118</v>
      </c>
      <c r="M7" s="20">
        <f aca="true" t="shared" si="3" ref="M7:M34">E7+I7</f>
        <v>0</v>
      </c>
      <c r="N7" s="20">
        <f aca="true" t="shared" si="4" ref="N7:N34">F7+J7</f>
        <v>0</v>
      </c>
      <c r="O7" s="21">
        <f>K7/C7%</f>
        <v>104.30845070422535</v>
      </c>
      <c r="Q7" s="31"/>
      <c r="R7" s="31"/>
      <c r="S7" s="32"/>
      <c r="U7" s="4"/>
      <c r="V7" s="4"/>
    </row>
    <row r="8" spans="1:22" ht="48" customHeight="1">
      <c r="A8" s="14" t="s">
        <v>3</v>
      </c>
      <c r="B8" s="22" t="s">
        <v>4</v>
      </c>
      <c r="C8" s="16">
        <f t="shared" si="1"/>
        <v>3363000</v>
      </c>
      <c r="D8" s="16">
        <v>400000</v>
      </c>
      <c r="E8" s="16"/>
      <c r="F8" s="17">
        <f>110000+2616000+140000+70000+27000</f>
        <v>2963000</v>
      </c>
      <c r="G8" s="18">
        <f aca="true" t="shared" si="5" ref="G8:G33">H8+I8+J8</f>
        <v>231852</v>
      </c>
      <c r="H8" s="23"/>
      <c r="I8" s="23"/>
      <c r="J8" s="23">
        <f>91000+42000+2912+15940+80000</f>
        <v>231852</v>
      </c>
      <c r="K8" s="19">
        <f>C8+G8</f>
        <v>3594852</v>
      </c>
      <c r="L8" s="20">
        <f t="shared" si="0"/>
        <v>400000</v>
      </c>
      <c r="M8" s="20">
        <f t="shared" si="3"/>
        <v>0</v>
      </c>
      <c r="N8" s="20">
        <f t="shared" si="4"/>
        <v>3194852</v>
      </c>
      <c r="O8" s="21">
        <f>K8/C8%</f>
        <v>106.89420160570918</v>
      </c>
      <c r="Q8" s="31"/>
      <c r="R8" s="31"/>
      <c r="S8" s="32"/>
      <c r="U8" s="4"/>
      <c r="V8" s="4"/>
    </row>
    <row r="9" spans="1:22" ht="48" customHeight="1" hidden="1">
      <c r="A9" s="14">
        <v>150</v>
      </c>
      <c r="B9" s="24" t="s">
        <v>28</v>
      </c>
      <c r="C9" s="16">
        <f t="shared" si="1"/>
        <v>0</v>
      </c>
      <c r="D9" s="16"/>
      <c r="E9" s="16"/>
      <c r="F9" s="17"/>
      <c r="G9" s="18">
        <f t="shared" si="5"/>
        <v>0</v>
      </c>
      <c r="H9" s="23"/>
      <c r="I9" s="23"/>
      <c r="J9" s="23"/>
      <c r="K9" s="19">
        <f t="shared" si="2"/>
        <v>0</v>
      </c>
      <c r="L9" s="20">
        <f t="shared" si="0"/>
        <v>0</v>
      </c>
      <c r="M9" s="20">
        <f t="shared" si="3"/>
        <v>0</v>
      </c>
      <c r="N9" s="20">
        <f t="shared" si="4"/>
        <v>0</v>
      </c>
      <c r="O9" s="21" t="e">
        <f>K9/C9%</f>
        <v>#DIV/0!</v>
      </c>
      <c r="Q9" s="31"/>
      <c r="R9" s="31"/>
      <c r="S9" s="32"/>
      <c r="U9" s="4"/>
      <c r="V9" s="4"/>
    </row>
    <row r="10" spans="1:22" ht="75.75" customHeight="1">
      <c r="A10" s="14">
        <v>400</v>
      </c>
      <c r="B10" s="24" t="s">
        <v>29</v>
      </c>
      <c r="C10" s="16">
        <f t="shared" si="1"/>
        <v>0</v>
      </c>
      <c r="D10" s="16"/>
      <c r="E10" s="16"/>
      <c r="F10" s="17"/>
      <c r="G10" s="18">
        <f t="shared" si="5"/>
        <v>1356000</v>
      </c>
      <c r="H10" s="23"/>
      <c r="I10" s="23">
        <f>1356000</f>
        <v>1356000</v>
      </c>
      <c r="J10" s="23"/>
      <c r="K10" s="19">
        <f t="shared" si="2"/>
        <v>1356000</v>
      </c>
      <c r="L10" s="20">
        <f t="shared" si="0"/>
        <v>0</v>
      </c>
      <c r="M10" s="20">
        <f t="shared" si="3"/>
        <v>1356000</v>
      </c>
      <c r="N10" s="20">
        <f t="shared" si="4"/>
        <v>0</v>
      </c>
      <c r="O10" s="21" t="e">
        <f>K10/C10%</f>
        <v>#DIV/0!</v>
      </c>
      <c r="Q10" s="31"/>
      <c r="R10" s="31"/>
      <c r="S10" s="32"/>
      <c r="U10" s="4"/>
      <c r="V10" s="4"/>
    </row>
    <row r="11" spans="1:22" ht="48" customHeight="1">
      <c r="A11" s="14">
        <v>500</v>
      </c>
      <c r="B11" s="22" t="s">
        <v>5</v>
      </c>
      <c r="C11" s="16">
        <f t="shared" si="1"/>
        <v>5641000</v>
      </c>
      <c r="D11" s="16"/>
      <c r="E11" s="16"/>
      <c r="F11" s="17">
        <f>10000+5510000+50000+71000</f>
        <v>5641000</v>
      </c>
      <c r="G11" s="18">
        <f>H11+I11+J11</f>
        <v>830606</v>
      </c>
      <c r="H11" s="23"/>
      <c r="I11" s="23"/>
      <c r="J11" s="23">
        <f>723606+100000+7000</f>
        <v>830606</v>
      </c>
      <c r="K11" s="19">
        <f t="shared" si="2"/>
        <v>6471606</v>
      </c>
      <c r="L11" s="20">
        <f t="shared" si="0"/>
        <v>0</v>
      </c>
      <c r="M11" s="20">
        <f t="shared" si="3"/>
        <v>0</v>
      </c>
      <c r="N11" s="20">
        <f t="shared" si="4"/>
        <v>6471606</v>
      </c>
      <c r="O11" s="21">
        <f aca="true" t="shared" si="6" ref="O11:O16">K11/C11%</f>
        <v>114.72444602020919</v>
      </c>
      <c r="Q11" s="31"/>
      <c r="R11" s="31"/>
      <c r="S11" s="32"/>
      <c r="U11" s="4"/>
      <c r="V11" s="4"/>
    </row>
    <row r="12" spans="1:22" ht="35.25" customHeight="1">
      <c r="A12" s="14">
        <v>600</v>
      </c>
      <c r="B12" s="22" t="s">
        <v>6</v>
      </c>
      <c r="C12" s="16">
        <f t="shared" si="1"/>
        <v>97782000</v>
      </c>
      <c r="D12" s="16">
        <f>51604000+999000</f>
        <v>52603000</v>
      </c>
      <c r="E12" s="16"/>
      <c r="F12" s="17">
        <f>235000+41524000+3188000+232000</f>
        <v>45179000</v>
      </c>
      <c r="G12" s="37">
        <f>H12+I12+J12</f>
        <v>131381781.77</v>
      </c>
      <c r="H12" s="23">
        <f>5500000+37733+4244106.64+8307114.84+7822783.15</f>
        <v>25911737.630000003</v>
      </c>
      <c r="I12" s="23">
        <f>132560+3200000+25081880+687040-3235673+2739883+1184480+1458882.76+347139.84-2567967-403720-1206865</f>
        <v>27417640.6</v>
      </c>
      <c r="J12" s="23">
        <f>36998.4+1617289+1160400+176142+6016463.32+5558424.6+250000+5623212.7+16307802.42+176000+8638-308600+439573+33340.41+9727376.02+100000+8735666.37+44650+40000+50000+12031526.82+38106.31+10189394.17</f>
        <v>78052403.53999999</v>
      </c>
      <c r="K12" s="19">
        <f t="shared" si="2"/>
        <v>229163781.76999998</v>
      </c>
      <c r="L12" s="20">
        <f t="shared" si="0"/>
        <v>78514737.63</v>
      </c>
      <c r="M12" s="20">
        <f t="shared" si="3"/>
        <v>27417640.6</v>
      </c>
      <c r="N12" s="20">
        <f t="shared" si="4"/>
        <v>123231403.53999999</v>
      </c>
      <c r="O12" s="21">
        <f t="shared" si="6"/>
        <v>234.36192936327748</v>
      </c>
      <c r="Q12" s="31"/>
      <c r="R12" s="31"/>
      <c r="S12" s="32"/>
      <c r="U12" s="4"/>
      <c r="V12" s="4"/>
    </row>
    <row r="13" spans="1:22" ht="35.25" customHeight="1">
      <c r="A13" s="14">
        <v>630</v>
      </c>
      <c r="B13" s="22" t="s">
        <v>25</v>
      </c>
      <c r="C13" s="16">
        <f t="shared" si="1"/>
        <v>58000</v>
      </c>
      <c r="D13" s="16">
        <v>58000</v>
      </c>
      <c r="E13" s="16"/>
      <c r="F13" s="17"/>
      <c r="G13" s="18">
        <f t="shared" si="5"/>
        <v>2614</v>
      </c>
      <c r="H13" s="23">
        <f>2614</f>
        <v>2614</v>
      </c>
      <c r="I13" s="23"/>
      <c r="J13" s="23"/>
      <c r="K13" s="19">
        <f t="shared" si="2"/>
        <v>60614</v>
      </c>
      <c r="L13" s="20">
        <f t="shared" si="0"/>
        <v>60614</v>
      </c>
      <c r="M13" s="20">
        <f t="shared" si="3"/>
        <v>0</v>
      </c>
      <c r="N13" s="20">
        <f t="shared" si="4"/>
        <v>0</v>
      </c>
      <c r="O13" s="21">
        <f t="shared" si="6"/>
        <v>104.50689655172414</v>
      </c>
      <c r="Q13" s="31"/>
      <c r="R13" s="31"/>
      <c r="S13" s="32"/>
      <c r="U13" s="4"/>
      <c r="V13" s="4"/>
    </row>
    <row r="14" spans="1:22" ht="35.25" customHeight="1">
      <c r="A14" s="14">
        <v>700</v>
      </c>
      <c r="B14" s="24" t="s">
        <v>7</v>
      </c>
      <c r="C14" s="16">
        <f t="shared" si="1"/>
        <v>8637000</v>
      </c>
      <c r="D14" s="16">
        <v>8088000</v>
      </c>
      <c r="E14" s="16"/>
      <c r="F14" s="17">
        <v>549000</v>
      </c>
      <c r="G14" s="18">
        <f>H14+I14+J14</f>
        <v>12941770.29</v>
      </c>
      <c r="H14" s="23">
        <f>62514-25031.73-600000+1576537-43235+210418.56-9130.76+402052+235378+4950115-22815.57-25030</f>
        <v>6711771.5</v>
      </c>
      <c r="I14" s="23">
        <f>25031.73+1163628.41</f>
        <v>1188660.14</v>
      </c>
      <c r="J14" s="23">
        <f>600000+450000+400000+43235+547250+396404.75+9130.76+49402.55+1231500+980000+208520.41+100865.18+25030</f>
        <v>5041338.649999999</v>
      </c>
      <c r="K14" s="19">
        <f t="shared" si="2"/>
        <v>21578770.29</v>
      </c>
      <c r="L14" s="20">
        <f t="shared" si="0"/>
        <v>14799771.5</v>
      </c>
      <c r="M14" s="20">
        <f t="shared" si="3"/>
        <v>1188660.14</v>
      </c>
      <c r="N14" s="20">
        <f t="shared" si="4"/>
        <v>5590338.649999999</v>
      </c>
      <c r="O14" s="21">
        <f t="shared" si="6"/>
        <v>249.84103612365405</v>
      </c>
      <c r="Q14" s="31"/>
      <c r="R14" s="31"/>
      <c r="S14" s="32"/>
      <c r="U14" s="4"/>
      <c r="V14" s="4"/>
    </row>
    <row r="15" spans="1:22" ht="40.5" customHeight="1">
      <c r="A15" s="14">
        <v>710</v>
      </c>
      <c r="B15" s="22" t="s">
        <v>8</v>
      </c>
      <c r="C15" s="16">
        <f t="shared" si="1"/>
        <v>37142000</v>
      </c>
      <c r="D15" s="16">
        <f>30819000+214000</f>
        <v>31033000</v>
      </c>
      <c r="E15" s="16">
        <v>231000</v>
      </c>
      <c r="F15" s="17">
        <f>8000+4914000+150000+753000+53000</f>
        <v>5878000</v>
      </c>
      <c r="G15" s="18">
        <f t="shared" si="5"/>
        <v>1575307.18</v>
      </c>
      <c r="H15" s="23">
        <f>50340+37500+40440.18+415105+450000+59357+16627+1821+129000+250293+30845+232500</f>
        <v>1713828.18</v>
      </c>
      <c r="I15" s="23">
        <f>-1821</f>
        <v>-1821</v>
      </c>
      <c r="J15" s="23">
        <f>31000+50000+60000+4800-232500-50000</f>
        <v>-136700</v>
      </c>
      <c r="K15" s="19">
        <f t="shared" si="2"/>
        <v>38717307.18</v>
      </c>
      <c r="L15" s="20">
        <f t="shared" si="0"/>
        <v>32746828.18</v>
      </c>
      <c r="M15" s="20">
        <f t="shared" si="3"/>
        <v>229179</v>
      </c>
      <c r="N15" s="20">
        <f t="shared" si="4"/>
        <v>5741300</v>
      </c>
      <c r="O15" s="21">
        <f t="shared" si="6"/>
        <v>104.24130951483495</v>
      </c>
      <c r="Q15" s="31"/>
      <c r="R15" s="31"/>
      <c r="S15" s="32"/>
      <c r="U15" s="4"/>
      <c r="V15" s="4"/>
    </row>
    <row r="16" spans="1:22" ht="23.25" customHeight="1" hidden="1">
      <c r="A16" s="14">
        <v>720</v>
      </c>
      <c r="B16" s="22" t="s">
        <v>9</v>
      </c>
      <c r="C16" s="16">
        <f t="shared" si="1"/>
        <v>0</v>
      </c>
      <c r="D16" s="16"/>
      <c r="E16" s="16"/>
      <c r="F16" s="17"/>
      <c r="G16" s="18">
        <f t="shared" si="5"/>
        <v>0</v>
      </c>
      <c r="H16" s="23"/>
      <c r="I16" s="23"/>
      <c r="J16" s="23"/>
      <c r="K16" s="19">
        <f t="shared" si="2"/>
        <v>0</v>
      </c>
      <c r="L16" s="20">
        <f t="shared" si="0"/>
        <v>0</v>
      </c>
      <c r="M16" s="20">
        <f t="shared" si="3"/>
        <v>0</v>
      </c>
      <c r="N16" s="20">
        <f t="shared" si="4"/>
        <v>0</v>
      </c>
      <c r="O16" s="21" t="e">
        <f t="shared" si="6"/>
        <v>#DIV/0!</v>
      </c>
      <c r="Q16" s="31"/>
      <c r="R16" s="31"/>
      <c r="S16" s="32"/>
      <c r="U16" s="4"/>
      <c r="V16" s="4"/>
    </row>
    <row r="17" spans="1:22" ht="21" customHeight="1" hidden="1">
      <c r="A17" s="14">
        <v>730</v>
      </c>
      <c r="B17" s="22" t="s">
        <v>24</v>
      </c>
      <c r="C17" s="16">
        <f t="shared" si="1"/>
        <v>0</v>
      </c>
      <c r="D17" s="16"/>
      <c r="E17" s="16"/>
      <c r="F17" s="17"/>
      <c r="G17" s="18">
        <f t="shared" si="5"/>
        <v>0</v>
      </c>
      <c r="H17" s="23"/>
      <c r="I17" s="23"/>
      <c r="J17" s="23"/>
      <c r="K17" s="19">
        <f t="shared" si="2"/>
        <v>0</v>
      </c>
      <c r="L17" s="20">
        <f t="shared" si="0"/>
        <v>0</v>
      </c>
      <c r="M17" s="20">
        <f t="shared" si="3"/>
        <v>0</v>
      </c>
      <c r="N17" s="20">
        <f t="shared" si="4"/>
        <v>0</v>
      </c>
      <c r="O17" s="21"/>
      <c r="Q17" s="31"/>
      <c r="R17" s="31"/>
      <c r="S17" s="32"/>
      <c r="U17" s="4"/>
      <c r="V17" s="4"/>
    </row>
    <row r="18" spans="1:22" ht="39.75" customHeight="1">
      <c r="A18" s="14">
        <v>750</v>
      </c>
      <c r="B18" s="22" t="s">
        <v>10</v>
      </c>
      <c r="C18" s="16">
        <f t="shared" si="1"/>
        <v>107506000</v>
      </c>
      <c r="D18" s="16">
        <f>25420000+18000</f>
        <v>25438000</v>
      </c>
      <c r="E18" s="16"/>
      <c r="F18" s="17">
        <f>143000+77964000+1463000+1678000+820000</f>
        <v>82068000</v>
      </c>
      <c r="G18" s="18">
        <f t="shared" si="5"/>
        <v>18299040.11</v>
      </c>
      <c r="H18" s="23">
        <f>310971.43+451277+1215755-5000+343628.57-100000-94184-6550</f>
        <v>2115898</v>
      </c>
      <c r="I18" s="23"/>
      <c r="J18" s="23">
        <f>1196600+51428.57+5000000-15600+2470425+1000000+389446.68+65234.08+119560.61+1500000+14877.59+671084.23+12792+662000+452843.19+110820+1300000+478200+5000+48925.56+28500+100000-21936.53+19909.8+94184+137279.39+3000+288567.94</f>
        <v>16183142.110000001</v>
      </c>
      <c r="K18" s="19">
        <f>C18+G18</f>
        <v>125805040.11</v>
      </c>
      <c r="L18" s="20">
        <f t="shared" si="0"/>
        <v>27553898</v>
      </c>
      <c r="M18" s="20">
        <f t="shared" si="3"/>
        <v>0</v>
      </c>
      <c r="N18" s="20">
        <f t="shared" si="4"/>
        <v>98251142.11</v>
      </c>
      <c r="O18" s="21">
        <f aca="true" t="shared" si="7" ref="O18:O35">K18/C18%</f>
        <v>117.02141286067754</v>
      </c>
      <c r="Q18" s="31"/>
      <c r="R18" s="31"/>
      <c r="S18" s="31"/>
      <c r="U18" s="4"/>
      <c r="V18" s="4"/>
    </row>
    <row r="19" spans="1:22" ht="39" customHeight="1">
      <c r="A19" s="14">
        <v>752</v>
      </c>
      <c r="B19" s="22" t="s">
        <v>11</v>
      </c>
      <c r="C19" s="16">
        <f t="shared" si="1"/>
        <v>2327000</v>
      </c>
      <c r="D19" s="16">
        <v>2221000</v>
      </c>
      <c r="E19" s="16"/>
      <c r="F19" s="17">
        <f>5000+101000</f>
        <v>106000</v>
      </c>
      <c r="G19" s="18">
        <f>H19+I19+J19</f>
        <v>39004.20999999999</v>
      </c>
      <c r="H19" s="23">
        <f>-8000+196800-157795.79</f>
        <v>31004.209999999992</v>
      </c>
      <c r="I19" s="23"/>
      <c r="J19" s="23">
        <f>8000</f>
        <v>8000</v>
      </c>
      <c r="K19" s="19">
        <f>C19+G19</f>
        <v>2366004.21</v>
      </c>
      <c r="L19" s="20">
        <f t="shared" si="0"/>
        <v>2252004.21</v>
      </c>
      <c r="M19" s="20">
        <f t="shared" si="3"/>
        <v>0</v>
      </c>
      <c r="N19" s="20">
        <f t="shared" si="4"/>
        <v>114000</v>
      </c>
      <c r="O19" s="21">
        <f t="shared" si="7"/>
        <v>101.6761585732703</v>
      </c>
      <c r="Q19" s="31"/>
      <c r="R19" s="31"/>
      <c r="S19" s="32"/>
      <c r="U19" s="4"/>
      <c r="V19" s="4"/>
    </row>
    <row r="20" spans="1:22" ht="56.25" customHeight="1">
      <c r="A20" s="14">
        <v>754</v>
      </c>
      <c r="B20" s="24" t="s">
        <v>12</v>
      </c>
      <c r="C20" s="16">
        <f t="shared" si="1"/>
        <v>224839000</v>
      </c>
      <c r="D20" s="16">
        <f>193818000+1867000</f>
        <v>195685000</v>
      </c>
      <c r="E20" s="16">
        <f>8400000</f>
        <v>8400000</v>
      </c>
      <c r="F20" s="17">
        <f>240000+15216000+4450000+750000+98000</f>
        <v>20754000</v>
      </c>
      <c r="G20" s="18">
        <f t="shared" si="5"/>
        <v>35005272.129999995</v>
      </c>
      <c r="H20" s="23">
        <f>12384+1601160.91+1101097+218026.1+38111+2791146.31+25920+1651088.43+1166000+225000+26299.02+399000+6786+2871000+1058725+849000+860000+100000-127004.72+16362.48</f>
        <v>14890101.53</v>
      </c>
      <c r="I20" s="23">
        <f>2611135+5000000+881973.9+144000+505000+1487000-801+200000+80000</f>
        <v>10908307.9</v>
      </c>
      <c r="J20" s="23">
        <f>136290.62+28183.2+257451.52+1981857.99+300000+80365+867592.8+3900000+565400.43-38111+203661+265232.15+1009000+270000+44656+8496.3+30000-399000-1058725+140000+127004.72-80000-16362.48+583869.45</f>
        <v>9206862.7</v>
      </c>
      <c r="K20" s="19">
        <f t="shared" si="2"/>
        <v>259844272.13</v>
      </c>
      <c r="L20" s="20">
        <f t="shared" si="0"/>
        <v>210575101.53</v>
      </c>
      <c r="M20" s="20">
        <f t="shared" si="3"/>
        <v>19308307.9</v>
      </c>
      <c r="N20" s="20">
        <f t="shared" si="4"/>
        <v>29960862.7</v>
      </c>
      <c r="O20" s="21">
        <f t="shared" si="7"/>
        <v>115.56903923696511</v>
      </c>
      <c r="Q20" s="31"/>
      <c r="R20" s="31"/>
      <c r="S20" s="32"/>
      <c r="U20" s="4"/>
      <c r="V20" s="4"/>
    </row>
    <row r="21" spans="1:22" ht="36.75" customHeight="1">
      <c r="A21" s="14">
        <v>755</v>
      </c>
      <c r="B21" s="24" t="s">
        <v>36</v>
      </c>
      <c r="C21" s="16">
        <f t="shared" si="1"/>
        <v>5610000</v>
      </c>
      <c r="D21" s="16">
        <v>5610000</v>
      </c>
      <c r="E21" s="16"/>
      <c r="F21" s="17"/>
      <c r="G21" s="18">
        <f t="shared" si="5"/>
        <v>2030</v>
      </c>
      <c r="H21" s="23"/>
      <c r="I21" s="23"/>
      <c r="J21" s="23">
        <f>6000-3970</f>
        <v>2030</v>
      </c>
      <c r="K21" s="19">
        <f t="shared" si="2"/>
        <v>5612030</v>
      </c>
      <c r="L21" s="20">
        <f t="shared" si="0"/>
        <v>5610000</v>
      </c>
      <c r="M21" s="20">
        <f t="shared" si="3"/>
        <v>0</v>
      </c>
      <c r="N21" s="20">
        <f t="shared" si="4"/>
        <v>2030</v>
      </c>
      <c r="O21" s="21">
        <f t="shared" si="7"/>
        <v>100.0361853832442</v>
      </c>
      <c r="Q21" s="31"/>
      <c r="R21" s="31"/>
      <c r="S21" s="32"/>
      <c r="U21" s="4"/>
      <c r="V21" s="4"/>
    </row>
    <row r="22" spans="1:22" ht="126.75" customHeight="1">
      <c r="A22" s="14">
        <v>756</v>
      </c>
      <c r="B22" s="25" t="s">
        <v>27</v>
      </c>
      <c r="C22" s="16">
        <f t="shared" si="1"/>
        <v>0</v>
      </c>
      <c r="D22" s="16"/>
      <c r="E22" s="16"/>
      <c r="F22" s="17"/>
      <c r="G22" s="18">
        <f t="shared" si="5"/>
        <v>785416</v>
      </c>
      <c r="H22" s="23">
        <f>785416</f>
        <v>785416</v>
      </c>
      <c r="I22" s="23"/>
      <c r="J22" s="23"/>
      <c r="K22" s="19">
        <f t="shared" si="2"/>
        <v>785416</v>
      </c>
      <c r="L22" s="20">
        <f t="shared" si="0"/>
        <v>785416</v>
      </c>
      <c r="M22" s="20">
        <f t="shared" si="3"/>
        <v>0</v>
      </c>
      <c r="N22" s="20">
        <f t="shared" si="4"/>
        <v>0</v>
      </c>
      <c r="O22" s="21" t="e">
        <f t="shared" si="7"/>
        <v>#DIV/0!</v>
      </c>
      <c r="Q22" s="33"/>
      <c r="R22" s="31"/>
      <c r="S22" s="32"/>
      <c r="U22" s="4"/>
      <c r="V22" s="4"/>
    </row>
    <row r="23" spans="1:22" ht="36.75" customHeight="1">
      <c r="A23" s="14">
        <v>758</v>
      </c>
      <c r="B23" s="22" t="s">
        <v>13</v>
      </c>
      <c r="C23" s="16">
        <f t="shared" si="1"/>
        <v>15800000</v>
      </c>
      <c r="D23" s="16">
        <f>3008000+261000</f>
        <v>3269000</v>
      </c>
      <c r="E23" s="16">
        <f>70000</f>
        <v>70000</v>
      </c>
      <c r="F23" s="17">
        <f>12461000</f>
        <v>12461000</v>
      </c>
      <c r="G23" s="18">
        <f t="shared" si="5"/>
        <v>-2300910.4099999983</v>
      </c>
      <c r="H23" s="23">
        <f>5208578.42</f>
        <v>5208578.42</v>
      </c>
      <c r="I23" s="23">
        <f>4951511.17</f>
        <v>4951511.17</v>
      </c>
      <c r="J23" s="23">
        <f>-50340-28800-132667.68-12384-28183.2-36998.4-40440.18-2700-50000-2091.35-31000-50000-53152.2-1000000-5000+26576.1-6000-100000-1755300-220000-1500000-91000-110000-50000-80000-224000-250000-450000-60000-29122.23-43304.04-59357-25920-4000-42000-662000-200000-270000-225000-505000-8496.3-26299.02-43723.68-1300000-3140-140000-860000-30845-75950-33340.41-100000-800000-64662.12+3970-100000-80000-60000-42582.36-44650-40000+50000-50000-38106.31-113990.62</f>
        <v>-12460999.999999998</v>
      </c>
      <c r="K23" s="19">
        <f t="shared" si="2"/>
        <v>13499089.590000002</v>
      </c>
      <c r="L23" s="20">
        <f t="shared" si="0"/>
        <v>8477578.42</v>
      </c>
      <c r="M23" s="20">
        <f t="shared" si="3"/>
        <v>5021511.17</v>
      </c>
      <c r="N23" s="20">
        <f t="shared" si="4"/>
        <v>0</v>
      </c>
      <c r="O23" s="21">
        <f t="shared" si="7"/>
        <v>85.43727588607597</v>
      </c>
      <c r="Q23" s="31"/>
      <c r="R23" s="31"/>
      <c r="S23" s="31"/>
      <c r="U23" s="4"/>
      <c r="V23" s="4"/>
    </row>
    <row r="24" spans="1:22" ht="33.75" customHeight="1">
      <c r="A24" s="14">
        <v>801</v>
      </c>
      <c r="B24" s="22" t="s">
        <v>14</v>
      </c>
      <c r="C24" s="16">
        <f t="shared" si="1"/>
        <v>17883000</v>
      </c>
      <c r="D24" s="16">
        <f>4390000</f>
        <v>4390000</v>
      </c>
      <c r="E24" s="16"/>
      <c r="F24" s="17">
        <f>382000+12786000+165000+160000</f>
        <v>13493000</v>
      </c>
      <c r="G24" s="18">
        <f t="shared" si="5"/>
        <v>135084109.45999998</v>
      </c>
      <c r="H24" s="23">
        <f>78086+97509895+2331050+1761650+2706685+16990680+4094936+1757934-300000+1019438-523000</f>
        <v>127427354</v>
      </c>
      <c r="I24" s="23">
        <f>1062298.98+891407.69+35250+886640.78+221000+294281.8+2296026.66+386544-975023.45</f>
        <v>5098426.46</v>
      </c>
      <c r="J24" s="23">
        <f>1623679+11655+50000+21653+13238+15104+300000+523000</f>
        <v>2558329</v>
      </c>
      <c r="K24" s="19">
        <f t="shared" si="2"/>
        <v>152967109.45999998</v>
      </c>
      <c r="L24" s="20">
        <f t="shared" si="0"/>
        <v>131817354</v>
      </c>
      <c r="M24" s="20">
        <f t="shared" si="3"/>
        <v>5098426.46</v>
      </c>
      <c r="N24" s="20">
        <f t="shared" si="4"/>
        <v>16051329</v>
      </c>
      <c r="O24" s="21">
        <f t="shared" si="7"/>
        <v>855.3772267516634</v>
      </c>
      <c r="Q24" s="31"/>
      <c r="R24" s="31"/>
      <c r="S24" s="31"/>
      <c r="U24" s="4"/>
      <c r="V24" s="4"/>
    </row>
    <row r="25" spans="1:22" ht="24.75" customHeight="1" hidden="1">
      <c r="A25" s="14">
        <v>803</v>
      </c>
      <c r="B25" s="22" t="s">
        <v>23</v>
      </c>
      <c r="C25" s="16">
        <f t="shared" si="1"/>
        <v>0</v>
      </c>
      <c r="D25" s="16"/>
      <c r="E25" s="16"/>
      <c r="F25" s="17"/>
      <c r="G25" s="18">
        <f t="shared" si="5"/>
        <v>0</v>
      </c>
      <c r="H25" s="23"/>
      <c r="I25" s="23"/>
      <c r="J25" s="23"/>
      <c r="K25" s="19">
        <f t="shared" si="2"/>
        <v>0</v>
      </c>
      <c r="L25" s="20">
        <f t="shared" si="0"/>
        <v>0</v>
      </c>
      <c r="M25" s="20">
        <f t="shared" si="3"/>
        <v>0</v>
      </c>
      <c r="N25" s="20">
        <f t="shared" si="4"/>
        <v>0</v>
      </c>
      <c r="O25" s="21" t="e">
        <f t="shared" si="7"/>
        <v>#DIV/0!</v>
      </c>
      <c r="Q25" s="31"/>
      <c r="R25" s="31"/>
      <c r="S25" s="32"/>
      <c r="U25" s="4"/>
      <c r="V25" s="4"/>
    </row>
    <row r="26" spans="1:22" ht="34.5" customHeight="1">
      <c r="A26" s="14">
        <v>851</v>
      </c>
      <c r="B26" s="22" t="s">
        <v>15</v>
      </c>
      <c r="C26" s="16">
        <f t="shared" si="1"/>
        <v>224983000</v>
      </c>
      <c r="D26" s="16">
        <f>18564000</f>
        <v>18564000</v>
      </c>
      <c r="E26" s="16">
        <f>150000</f>
        <v>150000</v>
      </c>
      <c r="F26" s="17">
        <f>404000+200674000+2772000+70000+87000+2262000</f>
        <v>206269000</v>
      </c>
      <c r="G26" s="18">
        <f t="shared" si="5"/>
        <v>53756038.529999994</v>
      </c>
      <c r="H26" s="23">
        <f>26031.94+28800+5000+19205240+539.61+21448.86+5000-8000+5000</f>
        <v>19289060.41</v>
      </c>
      <c r="I26" s="23">
        <f>1175734+636608+1360000+2276446+2400000+1578171+1454587+160480+404496+10000000+2000000+344000+720000+60000-304800+1708930</f>
        <v>25974652</v>
      </c>
      <c r="J26" s="23">
        <f>132667.68+2700+2091.35+10000+53152.2-26576.1+363997+1755300+110000+3374574+200000+142928+800000+84689.44+41310.79+800000+10000+469000+75950-60000-21448.86-5000+8000-5000+60000+113990.62</f>
        <v>8492326.12</v>
      </c>
      <c r="K26" s="19">
        <f t="shared" si="2"/>
        <v>278739038.53</v>
      </c>
      <c r="L26" s="20">
        <f t="shared" si="0"/>
        <v>37853060.41</v>
      </c>
      <c r="M26" s="20">
        <f t="shared" si="3"/>
        <v>26124652</v>
      </c>
      <c r="N26" s="20">
        <f t="shared" si="4"/>
        <v>214761326.12</v>
      </c>
      <c r="O26" s="21">
        <f t="shared" si="7"/>
        <v>123.89337795744567</v>
      </c>
      <c r="Q26" s="31"/>
      <c r="R26" s="31"/>
      <c r="S26" s="32"/>
      <c r="U26" s="4"/>
      <c r="V26" s="4"/>
    </row>
    <row r="27" spans="1:22" ht="50.25" customHeight="1">
      <c r="A27" s="14">
        <v>852</v>
      </c>
      <c r="B27" s="22" t="s">
        <v>16</v>
      </c>
      <c r="C27" s="16">
        <f t="shared" si="1"/>
        <v>284834000</v>
      </c>
      <c r="D27" s="16">
        <v>284834000</v>
      </c>
      <c r="E27" s="16"/>
      <c r="F27" s="17"/>
      <c r="G27" s="18">
        <f t="shared" si="5"/>
        <v>58225350.519999996</v>
      </c>
      <c r="H27" s="23">
        <f>320000+176000+16400+5585897+469500+45857.04+1243910+19428.48+27000+3713536+1490000+1800000+7203455+5197028+2868190+1453.89+31537.5+4000-72000+1537111-80000-24677.48+17068131+15000+30264+12000+815000+12000+66000+3754989+59000-55787.34+2839746+96597.55+1215.88+245959-100000-50000-26145-11880</f>
        <v>56345716.519999996</v>
      </c>
      <c r="I27" s="23">
        <f>24000+194750+1400859+72000+100000+50000+26145+11880</f>
        <v>1879634</v>
      </c>
      <c r="J27" s="23"/>
      <c r="K27" s="19">
        <f>C27+G27</f>
        <v>343059350.52</v>
      </c>
      <c r="L27" s="20">
        <f>D27+H27</f>
        <v>341179716.52</v>
      </c>
      <c r="M27" s="20">
        <f t="shared" si="3"/>
        <v>1879634</v>
      </c>
      <c r="N27" s="20">
        <f t="shared" si="4"/>
        <v>0</v>
      </c>
      <c r="O27" s="21">
        <f t="shared" si="7"/>
        <v>120.44185403427961</v>
      </c>
      <c r="Q27" s="31"/>
      <c r="R27" s="31"/>
      <c r="S27" s="32"/>
      <c r="U27" s="4"/>
      <c r="V27" s="4"/>
    </row>
    <row r="28" spans="1:22" ht="51" customHeight="1">
      <c r="A28" s="14">
        <v>853</v>
      </c>
      <c r="B28" s="24" t="s">
        <v>17</v>
      </c>
      <c r="C28" s="16">
        <f t="shared" si="1"/>
        <v>14632000</v>
      </c>
      <c r="D28" s="16">
        <v>13852000</v>
      </c>
      <c r="E28" s="16"/>
      <c r="F28" s="17">
        <f>3000+777000</f>
        <v>780000</v>
      </c>
      <c r="G28" s="18">
        <f t="shared" si="5"/>
        <v>3385382.21</v>
      </c>
      <c r="H28" s="23">
        <f>20190.59+723916+13706.62+238892+33560+470000+570000+3140+458776</f>
        <v>2532181.21</v>
      </c>
      <c r="I28" s="23"/>
      <c r="J28" s="23">
        <f>30000+823201</f>
        <v>853201</v>
      </c>
      <c r="K28" s="19">
        <f t="shared" si="2"/>
        <v>18017382.21</v>
      </c>
      <c r="L28" s="20">
        <f t="shared" si="0"/>
        <v>16384181.21</v>
      </c>
      <c r="M28" s="20">
        <f t="shared" si="3"/>
        <v>0</v>
      </c>
      <c r="N28" s="20">
        <f t="shared" si="4"/>
        <v>1633201</v>
      </c>
      <c r="O28" s="21">
        <f t="shared" si="7"/>
        <v>123.13683850464736</v>
      </c>
      <c r="Q28" s="31"/>
      <c r="R28" s="31"/>
      <c r="S28" s="32"/>
      <c r="U28" s="4"/>
      <c r="V28" s="4"/>
    </row>
    <row r="29" spans="1:22" ht="55.5" customHeight="1">
      <c r="A29" s="14">
        <v>854</v>
      </c>
      <c r="B29" s="24" t="s">
        <v>18</v>
      </c>
      <c r="C29" s="16">
        <f t="shared" si="1"/>
        <v>1735000</v>
      </c>
      <c r="D29" s="16">
        <v>1735000</v>
      </c>
      <c r="E29" s="16"/>
      <c r="F29" s="17"/>
      <c r="G29" s="18">
        <f>H29+I29+J29</f>
        <v>17897544</v>
      </c>
      <c r="H29" s="23">
        <f>250000+10339038+879392+5233980+180134</f>
        <v>16882544</v>
      </c>
      <c r="I29" s="23"/>
      <c r="J29" s="23">
        <f>567000+448000</f>
        <v>1015000</v>
      </c>
      <c r="K29" s="19">
        <f>C29+G29</f>
        <v>19632544</v>
      </c>
      <c r="L29" s="20">
        <f>D29+H29</f>
        <v>18617544</v>
      </c>
      <c r="M29" s="20">
        <f t="shared" si="3"/>
        <v>0</v>
      </c>
      <c r="N29" s="20">
        <f t="shared" si="4"/>
        <v>1015000</v>
      </c>
      <c r="O29" s="21">
        <f t="shared" si="7"/>
        <v>1131.5587319884726</v>
      </c>
      <c r="Q29" s="31"/>
      <c r="R29" s="31"/>
      <c r="S29" s="31"/>
      <c r="U29" s="4"/>
      <c r="V29" s="4"/>
    </row>
    <row r="30" spans="1:22" ht="39" customHeight="1">
      <c r="A30" s="14">
        <v>855</v>
      </c>
      <c r="B30" s="24" t="s">
        <v>40</v>
      </c>
      <c r="C30" s="34">
        <f t="shared" si="1"/>
        <v>1091966000</v>
      </c>
      <c r="D30" s="16">
        <f>1087003000</f>
        <v>1087003000</v>
      </c>
      <c r="E30" s="16"/>
      <c r="F30" s="17">
        <f>6000+4870000+31000+56000</f>
        <v>4963000</v>
      </c>
      <c r="G30" s="18">
        <f>H30+I30+J30</f>
        <v>111753927.73000002</v>
      </c>
      <c r="H30" s="23">
        <f>142498+99000+1793.29+209114+1538059+763523+128372.43+72652+70574378+14196827.53-46659.05+2761600.29+43978+632148.17+19799694+226376</f>
        <v>111143354.66000001</v>
      </c>
      <c r="I30" s="23">
        <f>593217.48</f>
        <v>593217.48</v>
      </c>
      <c r="J30" s="23">
        <f>1000+14877.59+1478</f>
        <v>17355.59</v>
      </c>
      <c r="K30" s="19">
        <f>C30+G30</f>
        <v>1203719927.73</v>
      </c>
      <c r="L30" s="20">
        <f t="shared" si="0"/>
        <v>1198146354.66</v>
      </c>
      <c r="M30" s="20">
        <f t="shared" si="3"/>
        <v>593217.48</v>
      </c>
      <c r="N30" s="20">
        <f t="shared" si="4"/>
        <v>4980355.59</v>
      </c>
      <c r="O30" s="21">
        <f t="shared" si="7"/>
        <v>110.23419481284216</v>
      </c>
      <c r="Q30" s="31"/>
      <c r="R30" s="31"/>
      <c r="S30" s="32"/>
      <c r="U30" s="4"/>
      <c r="V30" s="4"/>
    </row>
    <row r="31" spans="1:22" ht="51" customHeight="1">
      <c r="A31" s="14">
        <v>900</v>
      </c>
      <c r="B31" s="24" t="s">
        <v>19</v>
      </c>
      <c r="C31" s="16">
        <f t="shared" si="1"/>
        <v>14006000</v>
      </c>
      <c r="D31" s="16"/>
      <c r="E31" s="16"/>
      <c r="F31" s="17">
        <f>24000+13703000+120000+159000</f>
        <v>14006000</v>
      </c>
      <c r="G31" s="18">
        <f t="shared" si="5"/>
        <v>3360010.09</v>
      </c>
      <c r="H31" s="23">
        <f>351055.29+122777.77-11383.2+29122.23</f>
        <v>491572.08999999997</v>
      </c>
      <c r="I31" s="23">
        <f>1100000+2208000-530981</f>
        <v>2777019</v>
      </c>
      <c r="J31" s="23">
        <f>80000+11419</f>
        <v>91419</v>
      </c>
      <c r="K31" s="19">
        <f t="shared" si="2"/>
        <v>17366010.09</v>
      </c>
      <c r="L31" s="20">
        <f t="shared" si="0"/>
        <v>491572.08999999997</v>
      </c>
      <c r="M31" s="20">
        <f t="shared" si="3"/>
        <v>2777019</v>
      </c>
      <c r="N31" s="20">
        <f t="shared" si="4"/>
        <v>14097419</v>
      </c>
      <c r="O31" s="21">
        <f t="shared" si="7"/>
        <v>123.9897907325432</v>
      </c>
      <c r="Q31" s="31"/>
      <c r="R31" s="31"/>
      <c r="S31" s="32"/>
      <c r="U31" s="4"/>
      <c r="V31" s="4"/>
    </row>
    <row r="32" spans="1:22" ht="45" customHeight="1">
      <c r="A32" s="14">
        <v>921</v>
      </c>
      <c r="B32" s="24" t="s">
        <v>20</v>
      </c>
      <c r="C32" s="16">
        <f t="shared" si="1"/>
        <v>15924000</v>
      </c>
      <c r="D32" s="16">
        <f>9392000</f>
        <v>9392000</v>
      </c>
      <c r="E32" s="16"/>
      <c r="F32" s="17">
        <f>9000+6460000+63000</f>
        <v>6532000</v>
      </c>
      <c r="G32" s="18">
        <f t="shared" si="5"/>
        <v>5158292.28</v>
      </c>
      <c r="H32" s="23">
        <f>155+104760.1</f>
        <v>104915.1</v>
      </c>
      <c r="I32" s="23">
        <f>154000+2099288.92+1757861+13560</f>
        <v>4024709.92</v>
      </c>
      <c r="J32" s="23">
        <f>859000+224000+8000+42582.36-155-104760.1</f>
        <v>1028667.2600000001</v>
      </c>
      <c r="K32" s="19">
        <f t="shared" si="2"/>
        <v>21082292.28</v>
      </c>
      <c r="L32" s="20">
        <f t="shared" si="0"/>
        <v>9496915.1</v>
      </c>
      <c r="M32" s="20">
        <f t="shared" si="3"/>
        <v>4024709.92</v>
      </c>
      <c r="N32" s="20">
        <f t="shared" si="4"/>
        <v>7560667.26</v>
      </c>
      <c r="O32" s="21">
        <f t="shared" si="7"/>
        <v>132.3931944235117</v>
      </c>
      <c r="Q32" s="31"/>
      <c r="R32" s="31"/>
      <c r="S32" s="32"/>
      <c r="U32" s="4"/>
      <c r="V32" s="4"/>
    </row>
    <row r="33" spans="1:22" ht="92.25" customHeight="1">
      <c r="A33" s="14">
        <v>925</v>
      </c>
      <c r="B33" s="24" t="s">
        <v>21</v>
      </c>
      <c r="C33" s="16">
        <f t="shared" si="1"/>
        <v>650000</v>
      </c>
      <c r="D33" s="16">
        <v>650000</v>
      </c>
      <c r="E33" s="16"/>
      <c r="F33" s="17"/>
      <c r="G33" s="18">
        <f t="shared" si="5"/>
        <v>0</v>
      </c>
      <c r="H33" s="23"/>
      <c r="I33" s="23"/>
      <c r="J33" s="23"/>
      <c r="K33" s="19">
        <f t="shared" si="2"/>
        <v>650000</v>
      </c>
      <c r="L33" s="20">
        <f t="shared" si="0"/>
        <v>650000</v>
      </c>
      <c r="M33" s="20">
        <f t="shared" si="3"/>
        <v>0</v>
      </c>
      <c r="N33" s="20">
        <f t="shared" si="4"/>
        <v>0</v>
      </c>
      <c r="O33" s="21">
        <f t="shared" si="7"/>
        <v>100</v>
      </c>
      <c r="Q33" s="31"/>
      <c r="R33" s="31"/>
      <c r="S33" s="32"/>
      <c r="U33" s="4"/>
      <c r="V33" s="4"/>
    </row>
    <row r="34" spans="1:22" ht="35.25" customHeight="1" hidden="1">
      <c r="A34" s="14">
        <v>926</v>
      </c>
      <c r="B34" s="24" t="s">
        <v>26</v>
      </c>
      <c r="C34" s="16">
        <f>D34+E34</f>
        <v>0</v>
      </c>
      <c r="D34" s="16"/>
      <c r="E34" s="16"/>
      <c r="F34" s="17"/>
      <c r="G34" s="18">
        <f>H34+I34+J34</f>
        <v>0</v>
      </c>
      <c r="H34" s="23"/>
      <c r="I34" s="23"/>
      <c r="J34" s="23"/>
      <c r="K34" s="19">
        <f t="shared" si="2"/>
        <v>0</v>
      </c>
      <c r="L34" s="19">
        <f t="shared" si="0"/>
        <v>0</v>
      </c>
      <c r="M34" s="19">
        <f t="shared" si="3"/>
        <v>0</v>
      </c>
      <c r="N34" s="20">
        <f t="shared" si="4"/>
        <v>0</v>
      </c>
      <c r="O34" s="21" t="e">
        <f t="shared" si="7"/>
        <v>#DIV/0!</v>
      </c>
      <c r="Q34" s="31"/>
      <c r="R34" s="31"/>
      <c r="S34" s="32"/>
      <c r="U34" s="4"/>
      <c r="V34" s="4"/>
    </row>
    <row r="35" spans="1:19" ht="27.75" customHeight="1">
      <c r="A35" s="52" t="s">
        <v>22</v>
      </c>
      <c r="B35" s="53"/>
      <c r="C35" s="26">
        <f>SUM(C6:C34)</f>
        <v>2390491000</v>
      </c>
      <c r="D35" s="26">
        <f>SUM(D6:D34)</f>
        <v>1786053000</v>
      </c>
      <c r="E35" s="26">
        <f aca="true" t="shared" si="8" ref="E35:L35">SUM(E6:E34)</f>
        <v>70491000</v>
      </c>
      <c r="F35" s="26">
        <f t="shared" si="8"/>
        <v>533947000</v>
      </c>
      <c r="G35" s="27">
        <f>SUM(G6:G34)</f>
        <v>671891997.5699998</v>
      </c>
      <c r="H35" s="27">
        <f t="shared" si="8"/>
        <v>463165014.93</v>
      </c>
      <c r="I35" s="27">
        <f t="shared" si="8"/>
        <v>77867957.67000002</v>
      </c>
      <c r="J35" s="27">
        <f t="shared" si="8"/>
        <v>130859024.97000001</v>
      </c>
      <c r="K35" s="27">
        <f>SUM(K6:K34)</f>
        <v>3062382997.57</v>
      </c>
      <c r="L35" s="27">
        <f t="shared" si="8"/>
        <v>2249218014.9300003</v>
      </c>
      <c r="M35" s="27">
        <f>SUM(M6:M34)</f>
        <v>148358957.66999996</v>
      </c>
      <c r="N35" s="27">
        <f>SUM(N6:N34)</f>
        <v>664806024.97</v>
      </c>
      <c r="O35" s="28">
        <f t="shared" si="7"/>
        <v>128.10686162675367</v>
      </c>
      <c r="Q35" s="31"/>
      <c r="R35" s="31"/>
      <c r="S35" s="32"/>
    </row>
    <row r="36" spans="1:15" ht="64.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35"/>
    </row>
    <row r="37" spans="1:18" s="6" customFormat="1" ht="31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8"/>
      <c r="L37" s="36"/>
      <c r="M37" s="36"/>
      <c r="N37" s="36"/>
      <c r="O37" s="36"/>
      <c r="Q37" s="30"/>
      <c r="R37" s="30"/>
    </row>
    <row r="38" spans="1:18" s="6" customFormat="1" ht="51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Q38" s="30"/>
      <c r="R38" s="30"/>
    </row>
    <row r="39" spans="1:15" ht="22.5" customHeight="1">
      <c r="A39" s="29"/>
      <c r="B39" s="6"/>
      <c r="G39" s="2"/>
      <c r="K39" s="2"/>
      <c r="L39" s="50"/>
      <c r="M39" s="50"/>
      <c r="N39" s="50"/>
      <c r="O39" s="50"/>
    </row>
    <row r="40" spans="1:15" ht="12.75" customHeight="1">
      <c r="A40" s="3"/>
      <c r="G40" s="2"/>
      <c r="L40" s="50"/>
      <c r="M40" s="50"/>
      <c r="N40" s="50"/>
      <c r="O40" s="50"/>
    </row>
    <row r="41" spans="2:15" ht="15.75">
      <c r="B41" s="5"/>
      <c r="L41" s="50"/>
      <c r="M41" s="50"/>
      <c r="N41" s="50"/>
      <c r="O41" s="50"/>
    </row>
  </sheetData>
  <sheetProtection/>
  <mergeCells count="15">
    <mergeCell ref="L41:O41"/>
    <mergeCell ref="L39:O39"/>
    <mergeCell ref="L40:O40"/>
    <mergeCell ref="A36:N36"/>
    <mergeCell ref="A35:B35"/>
    <mergeCell ref="A1:O1"/>
    <mergeCell ref="A3:A4"/>
    <mergeCell ref="B3:B4"/>
    <mergeCell ref="C3:C4"/>
    <mergeCell ref="G3:G4"/>
    <mergeCell ref="L3:N3"/>
    <mergeCell ref="H3:J3"/>
    <mergeCell ref="D3:F3"/>
    <mergeCell ref="K3:K4"/>
    <mergeCell ref="O3:O4"/>
  </mergeCells>
  <printOptions horizontalCentered="1"/>
  <pageMargins left="0" right="0" top="0.1968503937007874" bottom="0.1968503937007874" header="0" footer="0"/>
  <pageSetup horizontalDpi="600" verticalDpi="600" orientation="landscape" paperSize="9" scale="36" r:id="rId1"/>
  <headerFooter alignWithMargins="0">
    <oddFooter>&amp;LZał. Nr 1 
do pisma znak: F-VI.3121.4.22.2023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zabek</dc:creator>
  <cp:keywords/>
  <dc:description/>
  <cp:lastModifiedBy>Kamila Placha-Bogacz</cp:lastModifiedBy>
  <cp:lastPrinted>2023-12-06T08:53:51Z</cp:lastPrinted>
  <dcterms:created xsi:type="dcterms:W3CDTF">2005-05-12T09:31:11Z</dcterms:created>
  <dcterms:modified xsi:type="dcterms:W3CDTF">2024-01-05T08:16:29Z</dcterms:modified>
  <cp:category/>
  <cp:version/>
  <cp:contentType/>
  <cp:contentStatus/>
</cp:coreProperties>
</file>