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\ST7\BeSTi@\2022\II KWARTAŁ\www\MF\Zestawienia zbiorcze\"/>
    </mc:Choice>
  </mc:AlternateContent>
  <bookViews>
    <workbookView xWindow="0" yWindow="0" windowWidth="21600" windowHeight="97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107" i="7" l="1"/>
  <c r="B106" i="7"/>
  <c r="B105" i="7"/>
  <c r="B104" i="7"/>
  <c r="I101" i="7"/>
  <c r="G101" i="7"/>
  <c r="I100" i="7"/>
  <c r="G100" i="7"/>
  <c r="I99" i="7"/>
  <c r="G99" i="7"/>
  <c r="L93" i="7"/>
  <c r="K93" i="7"/>
  <c r="J93" i="7"/>
  <c r="I93" i="7"/>
  <c r="H93" i="7"/>
  <c r="G93" i="7"/>
  <c r="F93" i="7"/>
  <c r="L92" i="7"/>
  <c r="K92" i="7"/>
  <c r="J92" i="7"/>
  <c r="I92" i="7"/>
  <c r="H92" i="7"/>
  <c r="G92" i="7"/>
  <c r="F92" i="7"/>
  <c r="L91" i="7"/>
  <c r="K91" i="7"/>
  <c r="J91" i="7"/>
  <c r="I91" i="7"/>
  <c r="H91" i="7"/>
  <c r="G91" i="7"/>
  <c r="F91" i="7"/>
  <c r="L90" i="7"/>
  <c r="K90" i="7"/>
  <c r="J90" i="7"/>
  <c r="I90" i="7"/>
  <c r="H90" i="7"/>
  <c r="G90" i="7"/>
  <c r="F90" i="7"/>
  <c r="L89" i="7"/>
  <c r="K89" i="7"/>
  <c r="J89" i="7"/>
  <c r="I89" i="7"/>
  <c r="H89" i="7"/>
  <c r="G89" i="7"/>
  <c r="F89" i="7"/>
  <c r="L88" i="7"/>
  <c r="K88" i="7"/>
  <c r="J88" i="7"/>
  <c r="I88" i="7"/>
  <c r="H88" i="7"/>
  <c r="G88" i="7"/>
  <c r="F88" i="7"/>
  <c r="L87" i="7"/>
  <c r="K87" i="7"/>
  <c r="J87" i="7"/>
  <c r="I87" i="7"/>
  <c r="H87" i="7"/>
  <c r="G87" i="7"/>
  <c r="F87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104" i="7"/>
  <c r="A77" i="7" s="1"/>
  <c r="A34" i="7" l="1"/>
  <c r="A96" i="7"/>
  <c r="A1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<sst xmlns="http://schemas.openxmlformats.org/spreadsheetml/2006/main" count="97" uniqueCount="81">
  <si>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</si>
  <si>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</si>
  <si>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</si>
  <si>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</si>
  <si>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</si>
  <si>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</si>
  <si>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</si>
  <si>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</si>
  <si>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</si>
  <si>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</si>
  <si>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</si>
  <si>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</si>
  <si>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</si>
  <si>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</si>
  <si>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</si>
  <si>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</si>
  <si>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</si>
  <si>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</si>
  <si>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</si>
  <si>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</si>
  <si>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</si>
  <si>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</si>
  <si>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</si>
  <si>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</si>
  <si>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</si>
  <si>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</si>
  <si>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</si>
  <si>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</si>
  <si>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</si>
  <si>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</si>
  <si>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</si>
  <si>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</si>
  <si>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</si>
  <si>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</si>
  <si>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</si>
  <si>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</si>
  <si>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</si>
  <si>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</si>
  <si>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</si>
  <si>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N5.2 z tytułu podatków i składek na 
ubezpieczenia społ.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</si>
  <si>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</si>
  <si>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</si>
  <si>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</si>
  <si>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</si>
  <si>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</si>
  <si>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</si>
  <si>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</si>
  <si>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</si>
  <si>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</si>
  <si>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</si>
  <si>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</si>
  <si>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</si>
  <si>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</si>
  <si>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</si>
  <si>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  wymagalne zobowiązania 
     (E4.1+E4.2)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</si>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</sst>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5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101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4" fontId="7" fillId="20" borderId="10" xfId="37" applyNumberFormat="1" applyFont="1" applyFill="1" applyBorder="1" applyAlignment="1">
      <alignment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8" fillId="0" borderId="17" xfId="0" applyFont="1" applyFill="1" applyBorder="1" applyAlignment="1">
      <alignment horizontal="left" vertical="center" wrapText="1" indent="1"/>
    </xf>
    <xf numFmtId="0" fontId="28" fillId="0" borderId="18" xfId="0" applyFont="1" applyFill="1" applyBorder="1" applyAlignment="1">
      <alignment horizontal="left" vertical="center" wrapText="1" indent="1"/>
    </xf>
    <xf numFmtId="0" fontId="28" fillId="0" borderId="17" xfId="0" applyFont="1" applyFill="1" applyBorder="1" applyAlignment="1">
      <alignment horizontal="left" vertical="center" indent="1"/>
    </xf>
    <xf numFmtId="0" fontId="33" fillId="0" borderId="17" xfId="0" applyFont="1" applyFill="1" applyBorder="1" applyAlignment="1">
      <alignment vertical="center" wrapText="1"/>
    </xf>
    <xf numFmtId="0" fontId="33" fillId="0" borderId="17" xfId="0" applyFont="1" applyFill="1" applyBorder="1" applyAlignment="1">
      <alignment vertical="center"/>
    </xf>
    <xf numFmtId="0" fontId="32" fillId="0" borderId="17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left" vertical="center" indent="1"/>
    </xf>
    <xf numFmtId="4" fontId="7" fillId="0" borderId="10" xfId="37" applyNumberFormat="1" applyFont="1" applyFill="1" applyBorder="1" applyAlignment="1">
      <alignment vertical="center" wrapText="1"/>
    </xf>
    <xf numFmtId="0" fontId="31" fillId="21" borderId="10" xfId="37" applyFont="1" applyFill="1" applyBorder="1" applyAlignment="1">
      <alignment horizontal="left" vertical="center" wrapText="1"/>
    </xf>
    <xf numFmtId="4" fontId="7" fillId="21" borderId="10" xfId="37" applyNumberFormat="1" applyFont="1" applyFill="1" applyBorder="1" applyAlignment="1">
      <alignment horizontal="right" vertical="center" wrapText="1"/>
    </xf>
    <xf numFmtId="0" fontId="31" fillId="21" borderId="17" xfId="0" applyFont="1" applyFill="1" applyBorder="1" applyAlignment="1">
      <alignment wrapText="1"/>
    </xf>
    <xf numFmtId="0" fontId="31" fillId="21" borderId="18" xfId="0" applyFont="1" applyFill="1" applyBorder="1" applyAlignment="1">
      <alignment wrapText="1"/>
    </xf>
    <xf numFmtId="0" fontId="31" fillId="21" borderId="18" xfId="0" applyFont="1" applyFill="1" applyBorder="1" applyAlignment="1">
      <alignment vertical="center"/>
    </xf>
    <xf numFmtId="0" fontId="31" fillId="21" borderId="17" xfId="0" applyFont="1" applyFill="1" applyBorder="1" applyAlignment="1">
      <alignment horizontal="left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32" fillId="21" borderId="17" xfId="0" applyFont="1" applyFill="1" applyBorder="1" applyAlignment="1">
      <alignment vertical="center" wrapText="1"/>
    </xf>
    <xf numFmtId="4" fontId="7" fillId="21" borderId="10" xfId="37" applyNumberFormat="1" applyFont="1" applyFill="1" applyBorder="1" applyAlignment="1">
      <alignment vertical="center" wrapText="1"/>
    </xf>
    <xf numFmtId="4" fontId="2" fillId="19" borderId="15" xfId="37" applyNumberFormat="1" applyFont="1" applyFill="1" applyBorder="1" applyAlignment="1">
      <alignment horizontal="center" vertical="center" wrapText="1"/>
    </xf>
    <xf numFmtId="4" fontId="2" fillId="19" borderId="14" xfId="37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21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2" fillId="19" borderId="21" xfId="37" applyFont="1" applyFill="1" applyBorder="1" applyAlignment="1">
      <alignment horizontal="center" vertical="center" wrapText="1"/>
    </xf>
    <xf numFmtId="0" fontId="2" fillId="19" borderId="12" xfId="37" applyFont="1" applyFill="1" applyBorder="1" applyAlignment="1">
      <alignment horizontal="center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2" fillId="19" borderId="20" xfId="37" applyFont="1" applyFill="1" applyBorder="1" applyAlignment="1">
      <alignment horizontal="center" vertical="center" wrapText="1"/>
    </xf>
    <xf numFmtId="0" fontId="8" fillId="19" borderId="20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2" xfId="37" applyFont="1" applyFill="1" applyBorder="1" applyAlignment="1">
      <alignment horizontal="center" vertical="center" wrapText="1"/>
    </xf>
    <xf numFmtId="0" fontId="2" fillId="19" borderId="22" xfId="37" applyFont="1" applyFill="1" applyBorder="1" applyAlignment="1">
      <alignment horizontal="center" vertical="center" wrapText="1"/>
    </xf>
    <xf numFmtId="0" fontId="2" fillId="19" borderId="13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3" fontId="7" fillId="0" borderId="15" xfId="37" applyNumberFormat="1" applyFont="1" applyFill="1" applyBorder="1" applyAlignment="1">
      <alignment horizontal="right" vertical="center" wrapText="1"/>
    </xf>
    <xf numFmtId="3" fontId="7" fillId="0" borderId="11" xfId="37" applyNumberFormat="1" applyFont="1" applyFill="1" applyBorder="1" applyAlignment="1">
      <alignment horizontal="right" vertical="center" wrapText="1"/>
    </xf>
    <xf numFmtId="4" fontId="7" fillId="0" borderId="15" xfId="37" applyNumberFormat="1" applyFont="1" applyFill="1" applyBorder="1" applyAlignment="1">
      <alignment horizontal="right" vertical="center" wrapText="1"/>
    </xf>
    <xf numFmtId="4" fontId="7" fillId="0" borderId="11" xfId="37" applyNumberFormat="1" applyFont="1" applyFill="1" applyBorder="1" applyAlignment="1">
      <alignment horizontal="right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19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6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" fillId="19" borderId="10" xfId="37" applyNumberFormat="1" applyFont="1" applyFill="1" applyBorder="1" applyAlignment="1">
      <alignment horizontal="center" vertical="center" wrapText="1"/>
    </xf>
    <xf numFmtId="0" fontId="5" fillId="19" borderId="23" xfId="37" applyFont="1" applyFill="1" applyBorder="1" applyAlignment="1">
      <alignment horizontal="center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21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107"/>
  <sheetViews>
    <sheetView tabSelected="1" zoomScaleNormal="100" zoomScaleSheetLayoutView="50" workbookViewId="0">
      <selection sqref="A1:M1"/>
    </sheetView>
  </sheetViews>
  <sheetFormatPr defaultRowHeight="13.5" customHeight="1" x14ac:dyDescent="0.2"/>
  <cols>
    <col min="1" max="1" width="22.5703125" style="2" customWidth="1"/>
    <col min="2" max="3" width="14.7109375" style="2" customWidth="1"/>
    <col min="4" max="4" width="13.28515625" style="2" customWidth="1"/>
    <col min="5" max="5" width="12.28515625" style="2" customWidth="1"/>
    <col min="6" max="6" width="11.85546875" style="2" customWidth="1"/>
    <col min="7" max="7" width="11" style="2" customWidth="1"/>
    <col min="8" max="8" width="11.140625" style="2" customWidth="1"/>
    <col min="9" max="9" width="12.28515625" style="2" customWidth="1"/>
    <col min="10" max="10" width="13.5703125" style="2" customWidth="1"/>
    <col min="11" max="11" width="12.140625" style="2" customWidth="1"/>
    <col min="12" max="12" width="13.28515625" style="2" customWidth="1"/>
    <col min="13" max="13" width="11.140625" style="2" bestFit="1" customWidth="1"/>
    <col min="14" max="14" width="11.28515625" style="2" bestFit="1" customWidth="1"/>
    <col min="15" max="15" width="9.28515625" style="2" bestFit="1" customWidth="1"/>
    <col min="16" max="16" width="7.5703125" style="2" bestFit="1" customWidth="1"/>
    <col min="17" max="17" width="9.85546875" style="2" bestFit="1" customWidth="1"/>
    <col min="18" max="16384" width="9.140625" style="2"/>
  </cols>
  <sheetData>
    <row r="1" spans="1:17" ht="75" customHeight="1" x14ac:dyDescent="0.2">
      <c r="A1" s="51" t="str">
        <f>CONCATENATE("Informacja z wykonania budżetów gmin za ",$C$104," ",$B$105," roku   ",$B$107,"")</f>
        <v xml:space="preserve">Informacja z wykonania budżetów gmin za II Kwartały 2022 roku   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55" t="s">
        <v>64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5" spans="1:17" ht="13.5" customHeight="1" x14ac:dyDescent="0.2">
      <c r="B5" s="12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11"/>
      <c r="O5" s="11"/>
      <c r="P5" s="11"/>
      <c r="Q5" s="11"/>
    </row>
    <row r="6" spans="1:17" ht="13.5" customHeight="1" x14ac:dyDescent="0.2">
      <c r="A6" s="57" t="s">
        <v>0</v>
      </c>
      <c r="B6" s="56" t="s">
        <v>65</v>
      </c>
      <c r="C6" s="48" t="s">
        <v>69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95" t="s">
        <v>68</v>
      </c>
      <c r="P6" s="96"/>
      <c r="Q6" s="97"/>
    </row>
    <row r="7" spans="1:17" ht="13.5" customHeight="1" x14ac:dyDescent="0.2">
      <c r="A7" s="58"/>
      <c r="B7" s="43"/>
      <c r="C7" s="44" t="s">
        <v>66</v>
      </c>
      <c r="D7" s="44" t="s">
        <v>77</v>
      </c>
      <c r="E7" s="44" t="s">
        <v>70</v>
      </c>
      <c r="F7" s="44" t="s">
        <v>71</v>
      </c>
      <c r="G7" s="44" t="s">
        <v>27</v>
      </c>
      <c r="H7" s="44" t="s">
        <v>28</v>
      </c>
      <c r="I7" s="60" t="s">
        <v>67</v>
      </c>
      <c r="J7" s="44" t="s">
        <v>16</v>
      </c>
      <c r="K7" s="44" t="s">
        <v>17</v>
      </c>
      <c r="L7" s="44" t="s">
        <v>18</v>
      </c>
      <c r="M7" s="44" t="s">
        <v>19</v>
      </c>
      <c r="N7" s="43" t="s">
        <v>20</v>
      </c>
      <c r="O7" s="47" t="s">
        <v>21</v>
      </c>
      <c r="P7" s="47" t="s">
        <v>22</v>
      </c>
      <c r="Q7" s="47" t="s">
        <v>23</v>
      </c>
    </row>
    <row r="8" spans="1:17" ht="13.5" customHeight="1" x14ac:dyDescent="0.2">
      <c r="A8" s="58"/>
      <c r="B8" s="43"/>
      <c r="C8" s="45"/>
      <c r="D8" s="45"/>
      <c r="E8" s="45"/>
      <c r="F8" s="45"/>
      <c r="G8" s="45"/>
      <c r="H8" s="45"/>
      <c r="I8" s="60"/>
      <c r="J8" s="45"/>
      <c r="K8" s="45"/>
      <c r="L8" s="45"/>
      <c r="M8" s="45"/>
      <c r="N8" s="43"/>
      <c r="O8" s="47"/>
      <c r="P8" s="47"/>
      <c r="Q8" s="47"/>
    </row>
    <row r="9" spans="1:17" ht="11.25" customHeight="1" x14ac:dyDescent="0.2">
      <c r="A9" s="58"/>
      <c r="B9" s="43"/>
      <c r="C9" s="45"/>
      <c r="D9" s="45"/>
      <c r="E9" s="45"/>
      <c r="F9" s="45"/>
      <c r="G9" s="45"/>
      <c r="H9" s="45"/>
      <c r="I9" s="60"/>
      <c r="J9" s="45"/>
      <c r="K9" s="45"/>
      <c r="L9" s="45"/>
      <c r="M9" s="45"/>
      <c r="N9" s="43"/>
      <c r="O9" s="47"/>
      <c r="P9" s="47"/>
      <c r="Q9" s="47"/>
    </row>
    <row r="10" spans="1:17" ht="16.5" customHeight="1" x14ac:dyDescent="0.2">
      <c r="A10" s="59"/>
      <c r="B10" s="44"/>
      <c r="C10" s="45"/>
      <c r="D10" s="45"/>
      <c r="E10" s="45"/>
      <c r="F10" s="45"/>
      <c r="G10" s="45"/>
      <c r="H10" s="45"/>
      <c r="I10" s="61"/>
      <c r="J10" s="45"/>
      <c r="K10" s="45"/>
      <c r="L10" s="45"/>
      <c r="M10" s="45"/>
      <c r="N10" s="44"/>
      <c r="O10" s="47"/>
      <c r="P10" s="47"/>
      <c r="Q10" s="47"/>
    </row>
    <row r="11" spans="1:17" ht="16.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">
      <c r="A12" s="14"/>
      <c r="B12" s="36" t="s">
        <v>80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8"/>
      <c r="P12" s="38"/>
      <c r="Q12" s="39"/>
    </row>
    <row r="13" spans="1:17" ht="48" x14ac:dyDescent="0.2">
      <c r="A13" s="27" t="s">
        <v>46</v>
      </c>
      <c r="B13" s="28">
        <f>32476850796.33</f>
        <v>32476850796.330002</v>
      </c>
      <c r="C13" s="28">
        <f>32476849904.2</f>
        <v>32476849904.200001</v>
      </c>
      <c r="D13" s="28">
        <f>2465910071.4</f>
        <v>2465910071.4000001</v>
      </c>
      <c r="E13" s="28">
        <f>251769298.21</f>
        <v>251769298.21000001</v>
      </c>
      <c r="F13" s="28">
        <f>383084295.84</f>
        <v>383084295.83999997</v>
      </c>
      <c r="G13" s="28">
        <f>1828928978.91</f>
        <v>1828928978.9100001</v>
      </c>
      <c r="H13" s="28">
        <f>2127498.44</f>
        <v>2127498.44</v>
      </c>
      <c r="I13" s="28">
        <f>0</f>
        <v>0</v>
      </c>
      <c r="J13" s="28">
        <f>28237323752.05</f>
        <v>28237323752.049999</v>
      </c>
      <c r="K13" s="28">
        <f>1507051781.34</f>
        <v>1507051781.3399999</v>
      </c>
      <c r="L13" s="28">
        <f>231593947.48</f>
        <v>231593947.47999999</v>
      </c>
      <c r="M13" s="28">
        <f>19363412.19</f>
        <v>19363412.190000001</v>
      </c>
      <c r="N13" s="28">
        <f>15606939.74</f>
        <v>15606939.74</v>
      </c>
      <c r="O13" s="28">
        <f>892.13</f>
        <v>892.13</v>
      </c>
      <c r="P13" s="28">
        <f>0</f>
        <v>0</v>
      </c>
      <c r="Q13" s="28">
        <f>892.13</f>
        <v>892.13</v>
      </c>
    </row>
    <row r="14" spans="1:17" ht="26.25" customHeight="1" x14ac:dyDescent="0.2">
      <c r="A14" s="29" t="s">
        <v>47</v>
      </c>
      <c r="B14" s="28">
        <f>780264458.58</f>
        <v>780264458.58000004</v>
      </c>
      <c r="C14" s="28">
        <f>780264458.58</f>
        <v>780264458.58000004</v>
      </c>
      <c r="D14" s="28">
        <f>0</f>
        <v>0</v>
      </c>
      <c r="E14" s="28">
        <f>0</f>
        <v>0</v>
      </c>
      <c r="F14" s="28">
        <f>0</f>
        <v>0</v>
      </c>
      <c r="G14" s="28">
        <f>0</f>
        <v>0</v>
      </c>
      <c r="H14" s="28">
        <f>0</f>
        <v>0</v>
      </c>
      <c r="I14" s="28">
        <f>0</f>
        <v>0</v>
      </c>
      <c r="J14" s="28">
        <f>703026627.8</f>
        <v>703026627.79999995</v>
      </c>
      <c r="K14" s="28">
        <f>77137000</f>
        <v>77137000</v>
      </c>
      <c r="L14" s="28">
        <f>100830.78</f>
        <v>100830.78</v>
      </c>
      <c r="M14" s="28">
        <f>0</f>
        <v>0</v>
      </c>
      <c r="N14" s="28">
        <f>0</f>
        <v>0</v>
      </c>
      <c r="O14" s="28">
        <f>0</f>
        <v>0</v>
      </c>
      <c r="P14" s="28">
        <f>0</f>
        <v>0</v>
      </c>
      <c r="Q14" s="28">
        <f>0</f>
        <v>0</v>
      </c>
    </row>
    <row r="15" spans="1:17" ht="27" customHeight="1" x14ac:dyDescent="0.2">
      <c r="A15" s="19" t="s">
        <v>48</v>
      </c>
      <c r="B15" s="33">
        <f>4000000</f>
        <v>4000000</v>
      </c>
      <c r="C15" s="33">
        <f>4000000</f>
        <v>4000000</v>
      </c>
      <c r="D15" s="33">
        <f>0</f>
        <v>0</v>
      </c>
      <c r="E15" s="33">
        <f>0</f>
        <v>0</v>
      </c>
      <c r="F15" s="33">
        <f>0</f>
        <v>0</v>
      </c>
      <c r="G15" s="33">
        <f>0</f>
        <v>0</v>
      </c>
      <c r="H15" s="33">
        <f>0</f>
        <v>0</v>
      </c>
      <c r="I15" s="33">
        <f>0</f>
        <v>0</v>
      </c>
      <c r="J15" s="33">
        <f>4000000</f>
        <v>4000000</v>
      </c>
      <c r="K15" s="33">
        <f>0</f>
        <v>0</v>
      </c>
      <c r="L15" s="33">
        <f>0</f>
        <v>0</v>
      </c>
      <c r="M15" s="33">
        <f>0</f>
        <v>0</v>
      </c>
      <c r="N15" s="33">
        <f>0</f>
        <v>0</v>
      </c>
      <c r="O15" s="33">
        <f>0</f>
        <v>0</v>
      </c>
      <c r="P15" s="33">
        <f>0</f>
        <v>0</v>
      </c>
      <c r="Q15" s="33">
        <f>0</f>
        <v>0</v>
      </c>
    </row>
    <row r="16" spans="1:17" ht="24" customHeight="1" x14ac:dyDescent="0.2">
      <c r="A16" s="19" t="s">
        <v>49</v>
      </c>
      <c r="B16" s="33">
        <f>776264458.58</f>
        <v>776264458.58000004</v>
      </c>
      <c r="C16" s="33">
        <f>776264458.58</f>
        <v>776264458.58000004</v>
      </c>
      <c r="D16" s="33">
        <f>0</f>
        <v>0</v>
      </c>
      <c r="E16" s="33">
        <f>0</f>
        <v>0</v>
      </c>
      <c r="F16" s="33">
        <f>0</f>
        <v>0</v>
      </c>
      <c r="G16" s="33">
        <f>0</f>
        <v>0</v>
      </c>
      <c r="H16" s="33">
        <f>0</f>
        <v>0</v>
      </c>
      <c r="I16" s="33">
        <f>0</f>
        <v>0</v>
      </c>
      <c r="J16" s="33">
        <f>699026627.8</f>
        <v>699026627.79999995</v>
      </c>
      <c r="K16" s="33">
        <f>77137000</f>
        <v>77137000</v>
      </c>
      <c r="L16" s="33">
        <f>100830.78</f>
        <v>100830.78</v>
      </c>
      <c r="M16" s="33">
        <f>0</f>
        <v>0</v>
      </c>
      <c r="N16" s="33">
        <f>0</f>
        <v>0</v>
      </c>
      <c r="O16" s="33">
        <f>0</f>
        <v>0</v>
      </c>
      <c r="P16" s="33">
        <f>0</f>
        <v>0</v>
      </c>
      <c r="Q16" s="33">
        <f>0</f>
        <v>0</v>
      </c>
    </row>
    <row r="17" spans="1:17" ht="31.5" customHeight="1" x14ac:dyDescent="0.2">
      <c r="A17" s="30" t="s">
        <v>50</v>
      </c>
      <c r="B17" s="28">
        <f>31658275893.72</f>
        <v>31658275893.720001</v>
      </c>
      <c r="C17" s="28">
        <f>31658275893.72</f>
        <v>31658275893.720001</v>
      </c>
      <c r="D17" s="28">
        <f>2452137418.85</f>
        <v>2452137418.8499999</v>
      </c>
      <c r="E17" s="28">
        <f>251667023.96</f>
        <v>251667023.96000001</v>
      </c>
      <c r="F17" s="28">
        <f>382987700.83</f>
        <v>382987700.82999998</v>
      </c>
      <c r="G17" s="28">
        <f>1817482694.06</f>
        <v>1817482694.0599999</v>
      </c>
      <c r="H17" s="28">
        <f>0</f>
        <v>0</v>
      </c>
      <c r="I17" s="28">
        <f>0</f>
        <v>0</v>
      </c>
      <c r="J17" s="28">
        <f>27533661292.93</f>
        <v>27533661292.93</v>
      </c>
      <c r="K17" s="28">
        <f>1429900647.03</f>
        <v>1429900647.03</v>
      </c>
      <c r="L17" s="28">
        <f>217680349.96</f>
        <v>217680349.96000001</v>
      </c>
      <c r="M17" s="28">
        <f>12048145.3</f>
        <v>12048145.300000001</v>
      </c>
      <c r="N17" s="28">
        <f>12848039.65</f>
        <v>12848039.65</v>
      </c>
      <c r="O17" s="28">
        <f>0</f>
        <v>0</v>
      </c>
      <c r="P17" s="28">
        <f>0</f>
        <v>0</v>
      </c>
      <c r="Q17" s="28">
        <f>0</f>
        <v>0</v>
      </c>
    </row>
    <row r="18" spans="1:17" ht="33" customHeight="1" x14ac:dyDescent="0.2">
      <c r="A18" s="20" t="s">
        <v>51</v>
      </c>
      <c r="B18" s="33">
        <f>260112576.66</f>
        <v>260112576.66</v>
      </c>
      <c r="C18" s="33">
        <f>260112576.66</f>
        <v>260112576.66</v>
      </c>
      <c r="D18" s="33">
        <f>30584667.83</f>
        <v>30584667.829999998</v>
      </c>
      <c r="E18" s="33">
        <f>15798937.83</f>
        <v>15798937.83</v>
      </c>
      <c r="F18" s="33">
        <f>1251500</f>
        <v>1251500</v>
      </c>
      <c r="G18" s="33">
        <f>13534230</f>
        <v>13534230</v>
      </c>
      <c r="H18" s="33">
        <f>0</f>
        <v>0</v>
      </c>
      <c r="I18" s="33">
        <f>0</f>
        <v>0</v>
      </c>
      <c r="J18" s="33">
        <f>228034566.18</f>
        <v>228034566.18000001</v>
      </c>
      <c r="K18" s="33">
        <f>58823.55</f>
        <v>58823.55</v>
      </c>
      <c r="L18" s="33">
        <f>810401.45</f>
        <v>810401.45</v>
      </c>
      <c r="M18" s="33">
        <f>450000</f>
        <v>450000</v>
      </c>
      <c r="N18" s="33">
        <f>174117.65</f>
        <v>174117.65</v>
      </c>
      <c r="O18" s="33">
        <f>0</f>
        <v>0</v>
      </c>
      <c r="P18" s="33">
        <f>0</f>
        <v>0</v>
      </c>
      <c r="Q18" s="33">
        <f>0</f>
        <v>0</v>
      </c>
    </row>
    <row r="19" spans="1:17" ht="25.5" customHeight="1" x14ac:dyDescent="0.2">
      <c r="A19" s="21" t="s">
        <v>52</v>
      </c>
      <c r="B19" s="33">
        <f>31398163317.06</f>
        <v>31398163317.060001</v>
      </c>
      <c r="C19" s="33">
        <f>31398163317.06</f>
        <v>31398163317.060001</v>
      </c>
      <c r="D19" s="33">
        <f>2421552751.02</f>
        <v>2421552751.02</v>
      </c>
      <c r="E19" s="33">
        <f>235868086.13</f>
        <v>235868086.13</v>
      </c>
      <c r="F19" s="33">
        <f>381736200.83</f>
        <v>381736200.82999998</v>
      </c>
      <c r="G19" s="33">
        <f>1803948464.06</f>
        <v>1803948464.0599999</v>
      </c>
      <c r="H19" s="33">
        <f>0</f>
        <v>0</v>
      </c>
      <c r="I19" s="33">
        <f>0</f>
        <v>0</v>
      </c>
      <c r="J19" s="33">
        <f>27305626726.75</f>
        <v>27305626726.75</v>
      </c>
      <c r="K19" s="33">
        <f>1429841823.48</f>
        <v>1429841823.48</v>
      </c>
      <c r="L19" s="33">
        <f>216869948.51</f>
        <v>216869948.50999999</v>
      </c>
      <c r="M19" s="33">
        <f>11598145.3</f>
        <v>11598145.300000001</v>
      </c>
      <c r="N19" s="33">
        <f>12673922</f>
        <v>12673922</v>
      </c>
      <c r="O19" s="33">
        <f>0</f>
        <v>0</v>
      </c>
      <c r="P19" s="33">
        <f>0</f>
        <v>0</v>
      </c>
      <c r="Q19" s="33">
        <f>0</f>
        <v>0</v>
      </c>
    </row>
    <row r="20" spans="1:17" ht="27.75" customHeight="1" x14ac:dyDescent="0.2">
      <c r="A20" s="31" t="s">
        <v>53</v>
      </c>
      <c r="B20" s="28">
        <f>0</f>
        <v>0</v>
      </c>
      <c r="C20" s="28">
        <f>0</f>
        <v>0</v>
      </c>
      <c r="D20" s="28">
        <f>0</f>
        <v>0</v>
      </c>
      <c r="E20" s="28">
        <f>0</f>
        <v>0</v>
      </c>
      <c r="F20" s="28">
        <f>0</f>
        <v>0</v>
      </c>
      <c r="G20" s="28">
        <f>0</f>
        <v>0</v>
      </c>
      <c r="H20" s="28">
        <f>0</f>
        <v>0</v>
      </c>
      <c r="I20" s="28">
        <f>0</f>
        <v>0</v>
      </c>
      <c r="J20" s="28">
        <f>0</f>
        <v>0</v>
      </c>
      <c r="K20" s="28">
        <f>0</f>
        <v>0</v>
      </c>
      <c r="L20" s="28">
        <f>0</f>
        <v>0</v>
      </c>
      <c r="M20" s="28">
        <f>0</f>
        <v>0</v>
      </c>
      <c r="N20" s="28">
        <f>0</f>
        <v>0</v>
      </c>
      <c r="O20" s="28">
        <f>0</f>
        <v>0</v>
      </c>
      <c r="P20" s="28">
        <f>0</f>
        <v>0</v>
      </c>
      <c r="Q20" s="28">
        <f>0</f>
        <v>0</v>
      </c>
    </row>
    <row r="21" spans="1:17" ht="36" x14ac:dyDescent="0.2">
      <c r="A21" s="32" t="s">
        <v>54</v>
      </c>
      <c r="B21" s="28">
        <f>38310444.03</f>
        <v>38310444.030000001</v>
      </c>
      <c r="C21" s="28">
        <f>38309551.9</f>
        <v>38309551.899999999</v>
      </c>
      <c r="D21" s="28">
        <f>13772652.55</f>
        <v>13772652.550000001</v>
      </c>
      <c r="E21" s="28">
        <f>102274.25</f>
        <v>102274.25</v>
      </c>
      <c r="F21" s="28">
        <f>96595.01</f>
        <v>96595.01</v>
      </c>
      <c r="G21" s="28">
        <f>11446284.85</f>
        <v>11446284.85</v>
      </c>
      <c r="H21" s="28">
        <f>2127498.44</f>
        <v>2127498.44</v>
      </c>
      <c r="I21" s="28">
        <f>0</f>
        <v>0</v>
      </c>
      <c r="J21" s="28">
        <f>635831.32</f>
        <v>635831.31999999995</v>
      </c>
      <c r="K21" s="28">
        <f>14134.31</f>
        <v>14134.31</v>
      </c>
      <c r="L21" s="28">
        <f>13812766.74</f>
        <v>13812766.74</v>
      </c>
      <c r="M21" s="28">
        <f>7315266.89</f>
        <v>7315266.8899999997</v>
      </c>
      <c r="N21" s="28">
        <f>2758900.09</f>
        <v>2758900.09</v>
      </c>
      <c r="O21" s="28">
        <f>892.13</f>
        <v>892.13</v>
      </c>
      <c r="P21" s="28">
        <f>0</f>
        <v>0</v>
      </c>
      <c r="Q21" s="28">
        <f>892.13</f>
        <v>892.13</v>
      </c>
    </row>
    <row r="22" spans="1:17" ht="27" customHeight="1" x14ac:dyDescent="0.2">
      <c r="A22" s="19" t="s">
        <v>55</v>
      </c>
      <c r="B22" s="33">
        <f>20128217.95</f>
        <v>20128217.949999999</v>
      </c>
      <c r="C22" s="33">
        <f>20128217.95</f>
        <v>20128217.949999999</v>
      </c>
      <c r="D22" s="33">
        <f>1990947.94</f>
        <v>1990947.94</v>
      </c>
      <c r="E22" s="33">
        <f>0</f>
        <v>0</v>
      </c>
      <c r="F22" s="33">
        <f>6593.8</f>
        <v>6593.8</v>
      </c>
      <c r="G22" s="33">
        <f>1984354.14</f>
        <v>1984354.14</v>
      </c>
      <c r="H22" s="33">
        <f>0</f>
        <v>0</v>
      </c>
      <c r="I22" s="33">
        <f>0</f>
        <v>0</v>
      </c>
      <c r="J22" s="33">
        <f>1072.13</f>
        <v>1072.1300000000001</v>
      </c>
      <c r="K22" s="33">
        <f>0</f>
        <v>0</v>
      </c>
      <c r="L22" s="33">
        <f>11722457.03</f>
        <v>11722457.029999999</v>
      </c>
      <c r="M22" s="33">
        <f>4076328.98</f>
        <v>4076328.98</v>
      </c>
      <c r="N22" s="33">
        <f>2337411.87</f>
        <v>2337411.87</v>
      </c>
      <c r="O22" s="33">
        <f>0</f>
        <v>0</v>
      </c>
      <c r="P22" s="33">
        <f>0</f>
        <v>0</v>
      </c>
      <c r="Q22" s="33">
        <f>0</f>
        <v>0</v>
      </c>
    </row>
    <row r="23" spans="1:17" ht="31.5" customHeight="1" x14ac:dyDescent="0.2">
      <c r="A23" s="25" t="s">
        <v>56</v>
      </c>
      <c r="B23" s="33">
        <f>18182226.08</f>
        <v>18182226.079999998</v>
      </c>
      <c r="C23" s="33">
        <f>18181333.95</f>
        <v>18181333.949999999</v>
      </c>
      <c r="D23" s="33">
        <f>11781704.61</f>
        <v>11781704.609999999</v>
      </c>
      <c r="E23" s="33">
        <f>102274.25</f>
        <v>102274.25</v>
      </c>
      <c r="F23" s="33">
        <f>90001.21</f>
        <v>90001.21</v>
      </c>
      <c r="G23" s="33">
        <f>9461930.71</f>
        <v>9461930.7100000009</v>
      </c>
      <c r="H23" s="33">
        <f>2127498.44</f>
        <v>2127498.44</v>
      </c>
      <c r="I23" s="33">
        <f>0</f>
        <v>0</v>
      </c>
      <c r="J23" s="33">
        <f>634759.19</f>
        <v>634759.18999999994</v>
      </c>
      <c r="K23" s="33">
        <f>14134.31</f>
        <v>14134.31</v>
      </c>
      <c r="L23" s="33">
        <f>2090309.71</f>
        <v>2090309.71</v>
      </c>
      <c r="M23" s="33">
        <f>3238937.91</f>
        <v>3238937.91</v>
      </c>
      <c r="N23" s="33">
        <f>421488.22</f>
        <v>421488.22</v>
      </c>
      <c r="O23" s="33">
        <f>892.13</f>
        <v>892.13</v>
      </c>
      <c r="P23" s="33">
        <f>0</f>
        <v>0</v>
      </c>
      <c r="Q23" s="33">
        <f>892.13</f>
        <v>892.13</v>
      </c>
    </row>
    <row r="24" spans="1:17" ht="19.5" customHeight="1" x14ac:dyDescent="0.2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ht="19.5" customHeight="1" x14ac:dyDescent="0.2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ht="19.5" customHeight="1" x14ac:dyDescent="0.2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ht="19.5" customHeight="1" x14ac:dyDescent="0.2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19.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ht="19.5" customHeight="1" x14ac:dyDescent="0.2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t="19.5" customHeight="1" x14ac:dyDescent="0.2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19.5" customHeight="1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 ht="19.5" customHeight="1" x14ac:dyDescent="0.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ht="19.5" customHeight="1" x14ac:dyDescent="0.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45.75" customHeight="1" x14ac:dyDescent="0.2">
      <c r="A34" s="51" t="str">
        <f>CONCATENATE("Informacja z wykonania budżetów gmin za ",$C$104," ",$B$105," roku   ",$B$107,"")</f>
        <v xml:space="preserve">Informacja z wykonania budżetów gmin za II Kwartały 2022 roku   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6" spans="1:17" ht="13.5" customHeight="1" x14ac:dyDescent="0.2">
      <c r="A36" s="55" t="s">
        <v>11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8" spans="1:17" ht="13.5" customHeight="1" x14ac:dyDescent="0.2">
      <c r="A38" s="40" t="s">
        <v>0</v>
      </c>
      <c r="B38" s="56" t="s">
        <v>12</v>
      </c>
      <c r="C38" s="48" t="s">
        <v>14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50"/>
      <c r="O38" s="52" t="s">
        <v>24</v>
      </c>
      <c r="P38" s="53"/>
      <c r="Q38" s="54"/>
    </row>
    <row r="39" spans="1:17" ht="13.5" customHeight="1" x14ac:dyDescent="0.2">
      <c r="A39" s="41"/>
      <c r="B39" s="43"/>
      <c r="C39" s="43" t="s">
        <v>13</v>
      </c>
      <c r="D39" s="45" t="s">
        <v>15</v>
      </c>
      <c r="E39" s="45" t="s">
        <v>25</v>
      </c>
      <c r="F39" s="45" t="s">
        <v>26</v>
      </c>
      <c r="G39" s="45" t="s">
        <v>74</v>
      </c>
      <c r="H39" s="45" t="s">
        <v>28</v>
      </c>
      <c r="I39" s="45" t="s">
        <v>1</v>
      </c>
      <c r="J39" s="45" t="s">
        <v>16</v>
      </c>
      <c r="K39" s="45" t="s">
        <v>17</v>
      </c>
      <c r="L39" s="45" t="s">
        <v>18</v>
      </c>
      <c r="M39" s="45" t="s">
        <v>19</v>
      </c>
      <c r="N39" s="89" t="s">
        <v>20</v>
      </c>
      <c r="O39" s="47" t="s">
        <v>21</v>
      </c>
      <c r="P39" s="47" t="s">
        <v>22</v>
      </c>
      <c r="Q39" s="98" t="s">
        <v>23</v>
      </c>
    </row>
    <row r="40" spans="1:17" ht="11.25" customHeight="1" x14ac:dyDescent="0.2">
      <c r="A40" s="41"/>
      <c r="B40" s="43"/>
      <c r="C40" s="43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89"/>
      <c r="O40" s="47"/>
      <c r="P40" s="47"/>
      <c r="Q40" s="99"/>
    </row>
    <row r="41" spans="1:17" ht="32.25" customHeight="1" x14ac:dyDescent="0.2">
      <c r="A41" s="42"/>
      <c r="B41" s="44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89"/>
      <c r="O41" s="47"/>
      <c r="P41" s="47"/>
      <c r="Q41" s="100"/>
    </row>
    <row r="42" spans="1:17" ht="12.75" customHeight="1" x14ac:dyDescent="0.2">
      <c r="A42" s="14">
        <v>1</v>
      </c>
      <c r="B42" s="14">
        <v>2</v>
      </c>
      <c r="C42" s="14">
        <v>3</v>
      </c>
      <c r="D42" s="14">
        <v>4</v>
      </c>
      <c r="E42" s="14">
        <v>5</v>
      </c>
      <c r="F42" s="14">
        <v>6</v>
      </c>
      <c r="G42" s="14">
        <v>7</v>
      </c>
      <c r="H42" s="14">
        <v>8</v>
      </c>
      <c r="I42" s="14">
        <v>9</v>
      </c>
      <c r="J42" s="14">
        <v>10</v>
      </c>
      <c r="K42" s="14">
        <v>11</v>
      </c>
      <c r="L42" s="14">
        <v>12</v>
      </c>
      <c r="M42" s="14">
        <v>13</v>
      </c>
      <c r="N42" s="14">
        <v>14</v>
      </c>
      <c r="O42" s="14">
        <v>15</v>
      </c>
      <c r="P42" s="14">
        <v>16</v>
      </c>
      <c r="Q42" s="14">
        <v>17</v>
      </c>
    </row>
    <row r="43" spans="1:17" ht="13.5" customHeight="1" x14ac:dyDescent="0.2">
      <c r="A43" s="14"/>
      <c r="B43" s="48" t="s">
        <v>80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</row>
    <row r="44" spans="1:17" ht="24.75" customHeight="1" x14ac:dyDescent="0.2">
      <c r="A44" s="34" t="s">
        <v>41</v>
      </c>
      <c r="B44" s="35">
        <f>1793951.88</f>
        <v>1793951.88</v>
      </c>
      <c r="C44" s="35">
        <f>1793951.88</f>
        <v>1793951.88</v>
      </c>
      <c r="D44" s="35">
        <f>1429.6</f>
        <v>1429.6</v>
      </c>
      <c r="E44" s="35">
        <f>1429.6</f>
        <v>1429.6</v>
      </c>
      <c r="F44" s="35">
        <f>0</f>
        <v>0</v>
      </c>
      <c r="G44" s="35">
        <f>0</f>
        <v>0</v>
      </c>
      <c r="H44" s="35">
        <f>0</f>
        <v>0</v>
      </c>
      <c r="I44" s="35">
        <f>0</f>
        <v>0</v>
      </c>
      <c r="J44" s="35">
        <f>183554.8</f>
        <v>183554.8</v>
      </c>
      <c r="K44" s="35">
        <f>24965</f>
        <v>24965</v>
      </c>
      <c r="L44" s="35">
        <f>747725</f>
        <v>747725</v>
      </c>
      <c r="M44" s="35">
        <f>580912.48</f>
        <v>580912.48</v>
      </c>
      <c r="N44" s="35">
        <f>255365</f>
        <v>255365</v>
      </c>
      <c r="O44" s="35">
        <f>0</f>
        <v>0</v>
      </c>
      <c r="P44" s="35">
        <f>0</f>
        <v>0</v>
      </c>
      <c r="Q44" s="35">
        <f>0</f>
        <v>0</v>
      </c>
    </row>
    <row r="45" spans="1:17" ht="24.75" customHeight="1" x14ac:dyDescent="0.2">
      <c r="A45" s="23" t="s">
        <v>29</v>
      </c>
      <c r="B45" s="26">
        <f>729404.98</f>
        <v>729404.98</v>
      </c>
      <c r="C45" s="26">
        <f>729404.98</f>
        <v>729404.98</v>
      </c>
      <c r="D45" s="26">
        <f>1429.6</f>
        <v>1429.6</v>
      </c>
      <c r="E45" s="26">
        <f>1429.6</f>
        <v>1429.6</v>
      </c>
      <c r="F45" s="26">
        <f>0</f>
        <v>0</v>
      </c>
      <c r="G45" s="26">
        <f>0</f>
        <v>0</v>
      </c>
      <c r="H45" s="26">
        <f>0</f>
        <v>0</v>
      </c>
      <c r="I45" s="26">
        <f>0</f>
        <v>0</v>
      </c>
      <c r="J45" s="26">
        <f>6000</f>
        <v>6000</v>
      </c>
      <c r="K45" s="26">
        <f>0</f>
        <v>0</v>
      </c>
      <c r="L45" s="26">
        <f>592125</f>
        <v>592125</v>
      </c>
      <c r="M45" s="26">
        <f>3662.38</f>
        <v>3662.38</v>
      </c>
      <c r="N45" s="26">
        <f>126188</f>
        <v>126188</v>
      </c>
      <c r="O45" s="15">
        <f>0</f>
        <v>0</v>
      </c>
      <c r="P45" s="15">
        <f>0</f>
        <v>0</v>
      </c>
      <c r="Q45" s="15">
        <f>0</f>
        <v>0</v>
      </c>
    </row>
    <row r="46" spans="1:17" ht="24.75" customHeight="1" x14ac:dyDescent="0.2">
      <c r="A46" s="23" t="s">
        <v>30</v>
      </c>
      <c r="B46" s="26">
        <f>1064546.9</f>
        <v>1064546.8999999999</v>
      </c>
      <c r="C46" s="26">
        <f>1064546.9</f>
        <v>1064546.8999999999</v>
      </c>
      <c r="D46" s="26">
        <f>0</f>
        <v>0</v>
      </c>
      <c r="E46" s="26">
        <f>0</f>
        <v>0</v>
      </c>
      <c r="F46" s="26">
        <f>0</f>
        <v>0</v>
      </c>
      <c r="G46" s="26">
        <f>0</f>
        <v>0</v>
      </c>
      <c r="H46" s="26">
        <f>0</f>
        <v>0</v>
      </c>
      <c r="I46" s="26">
        <f>0</f>
        <v>0</v>
      </c>
      <c r="J46" s="26">
        <f>177554.8</f>
        <v>177554.8</v>
      </c>
      <c r="K46" s="26">
        <f>24965</f>
        <v>24965</v>
      </c>
      <c r="L46" s="26">
        <f>155600</f>
        <v>155600</v>
      </c>
      <c r="M46" s="26">
        <f>577250.1</f>
        <v>577250.1</v>
      </c>
      <c r="N46" s="26">
        <f>129177</f>
        <v>129177</v>
      </c>
      <c r="O46" s="15">
        <f>0</f>
        <v>0</v>
      </c>
      <c r="P46" s="15">
        <f>0</f>
        <v>0</v>
      </c>
      <c r="Q46" s="15">
        <f>0</f>
        <v>0</v>
      </c>
    </row>
    <row r="47" spans="1:17" ht="24.75" customHeight="1" x14ac:dyDescent="0.2">
      <c r="A47" s="24" t="s">
        <v>42</v>
      </c>
      <c r="B47" s="26">
        <f>372958836.65</f>
        <v>372958836.64999998</v>
      </c>
      <c r="C47" s="26">
        <f>372776959.99</f>
        <v>372776959.99000001</v>
      </c>
      <c r="D47" s="26">
        <f>38561390.31</f>
        <v>38561390.310000002</v>
      </c>
      <c r="E47" s="26">
        <f>17716.5</f>
        <v>17716.5</v>
      </c>
      <c r="F47" s="26">
        <f>63178</f>
        <v>63178</v>
      </c>
      <c r="G47" s="26">
        <f>23380495.81</f>
        <v>23380495.809999999</v>
      </c>
      <c r="H47" s="26">
        <f>15100000</f>
        <v>15100000</v>
      </c>
      <c r="I47" s="26">
        <f>0</f>
        <v>0</v>
      </c>
      <c r="J47" s="26">
        <f>47205.43</f>
        <v>47205.43</v>
      </c>
      <c r="K47" s="26">
        <f>598.5</f>
        <v>598.5</v>
      </c>
      <c r="L47" s="26">
        <f>133082881.56</f>
        <v>133082881.56</v>
      </c>
      <c r="M47" s="26">
        <f>171353378.15</f>
        <v>171353378.15000001</v>
      </c>
      <c r="N47" s="26">
        <f>29731506.04</f>
        <v>29731506.039999999</v>
      </c>
      <c r="O47" s="15">
        <f>181876.66</f>
        <v>181876.66</v>
      </c>
      <c r="P47" s="15">
        <f>3883.66</f>
        <v>3883.66</v>
      </c>
      <c r="Q47" s="15">
        <f>177993</f>
        <v>177993</v>
      </c>
    </row>
    <row r="48" spans="1:17" ht="24.75" customHeight="1" x14ac:dyDescent="0.2">
      <c r="A48" s="23" t="s">
        <v>31</v>
      </c>
      <c r="B48" s="26">
        <f>48020203.27</f>
        <v>48020203.270000003</v>
      </c>
      <c r="C48" s="26">
        <f>47907206.77</f>
        <v>47907206.770000003</v>
      </c>
      <c r="D48" s="26">
        <f>22859819.9</f>
        <v>22859819.899999999</v>
      </c>
      <c r="E48" s="26">
        <f>283.03</f>
        <v>283.02999999999997</v>
      </c>
      <c r="F48" s="26">
        <f>58762</f>
        <v>58762</v>
      </c>
      <c r="G48" s="26">
        <f>7700774.87</f>
        <v>7700774.8700000001</v>
      </c>
      <c r="H48" s="26">
        <f>15100000</f>
        <v>15100000</v>
      </c>
      <c r="I48" s="26">
        <f>0</f>
        <v>0</v>
      </c>
      <c r="J48" s="26">
        <f>0</f>
        <v>0</v>
      </c>
      <c r="K48" s="26">
        <f>0</f>
        <v>0</v>
      </c>
      <c r="L48" s="26">
        <f>11056902.16</f>
        <v>11056902.16</v>
      </c>
      <c r="M48" s="26">
        <f>3523831.67</f>
        <v>3523831.67</v>
      </c>
      <c r="N48" s="26">
        <f>10466653.04</f>
        <v>10466653.039999999</v>
      </c>
      <c r="O48" s="15">
        <f>112996.5</f>
        <v>112996.5</v>
      </c>
      <c r="P48" s="15">
        <f>0</f>
        <v>0</v>
      </c>
      <c r="Q48" s="15">
        <f>112996.5</f>
        <v>112996.5</v>
      </c>
    </row>
    <row r="49" spans="1:17" ht="24.75" customHeight="1" x14ac:dyDescent="0.2">
      <c r="A49" s="23" t="s">
        <v>32</v>
      </c>
      <c r="B49" s="26">
        <f>324938633.38</f>
        <v>324938633.38</v>
      </c>
      <c r="C49" s="26">
        <f>324869753.22</f>
        <v>324869753.22000003</v>
      </c>
      <c r="D49" s="26">
        <f>15701570.41</f>
        <v>15701570.41</v>
      </c>
      <c r="E49" s="26">
        <f>17433.47</f>
        <v>17433.47</v>
      </c>
      <c r="F49" s="26">
        <f>4416</f>
        <v>4416</v>
      </c>
      <c r="G49" s="26">
        <f>15679720.94</f>
        <v>15679720.939999999</v>
      </c>
      <c r="H49" s="26">
        <f>0</f>
        <v>0</v>
      </c>
      <c r="I49" s="26">
        <f>0</f>
        <v>0</v>
      </c>
      <c r="J49" s="26">
        <f>47205.43</f>
        <v>47205.43</v>
      </c>
      <c r="K49" s="26">
        <f>598.5</f>
        <v>598.5</v>
      </c>
      <c r="L49" s="26">
        <f>122025979.4</f>
        <v>122025979.40000001</v>
      </c>
      <c r="M49" s="26">
        <f>167829546.48</f>
        <v>167829546.47999999</v>
      </c>
      <c r="N49" s="26">
        <f>19264853</f>
        <v>19264853</v>
      </c>
      <c r="O49" s="15">
        <f>68880.16</f>
        <v>68880.160000000003</v>
      </c>
      <c r="P49" s="15">
        <f>3883.66</f>
        <v>3883.66</v>
      </c>
      <c r="Q49" s="15">
        <f>64996.5</f>
        <v>64996.5</v>
      </c>
    </row>
    <row r="50" spans="1:17" ht="24.75" customHeight="1" x14ac:dyDescent="0.2">
      <c r="A50" s="34" t="s">
        <v>43</v>
      </c>
      <c r="B50" s="35">
        <f>31667873732.46</f>
        <v>31667873732.459999</v>
      </c>
      <c r="C50" s="35">
        <f>31667873732.46</f>
        <v>31667873732.459999</v>
      </c>
      <c r="D50" s="35">
        <f>18786807.69</f>
        <v>18786807.690000001</v>
      </c>
      <c r="E50" s="35">
        <f>9467176.38</f>
        <v>9467176.3800000008</v>
      </c>
      <c r="F50" s="35">
        <f>8244.58</f>
        <v>8244.58</v>
      </c>
      <c r="G50" s="35">
        <f>9311386.73</f>
        <v>9311386.7300000004</v>
      </c>
      <c r="H50" s="35">
        <f>0</f>
        <v>0</v>
      </c>
      <c r="I50" s="35">
        <f>0</f>
        <v>0</v>
      </c>
      <c r="J50" s="35">
        <f>31636419638.48</f>
        <v>31636419638.48</v>
      </c>
      <c r="K50" s="35">
        <f>5076488.33</f>
        <v>5076488.33</v>
      </c>
      <c r="L50" s="35">
        <f>7472647.21</f>
        <v>7472647.21</v>
      </c>
      <c r="M50" s="35">
        <f>118150.75</f>
        <v>118150.75</v>
      </c>
      <c r="N50" s="35">
        <f>0</f>
        <v>0</v>
      </c>
      <c r="O50" s="35">
        <f>0</f>
        <v>0</v>
      </c>
      <c r="P50" s="35">
        <f>0</f>
        <v>0</v>
      </c>
      <c r="Q50" s="35">
        <f>0</f>
        <v>0</v>
      </c>
    </row>
    <row r="51" spans="1:17" ht="24.75" customHeight="1" x14ac:dyDescent="0.2">
      <c r="A51" s="23" t="s">
        <v>33</v>
      </c>
      <c r="B51" s="26">
        <f>9422396.08</f>
        <v>9422396.0800000001</v>
      </c>
      <c r="C51" s="26">
        <f>9422396.08</f>
        <v>9422396.0800000001</v>
      </c>
      <c r="D51" s="26">
        <f>9162124.03</f>
        <v>9162124.0299999993</v>
      </c>
      <c r="E51" s="26">
        <f>0</f>
        <v>0</v>
      </c>
      <c r="F51" s="26">
        <f>0</f>
        <v>0</v>
      </c>
      <c r="G51" s="26">
        <f>9162124.03</f>
        <v>9162124.0299999993</v>
      </c>
      <c r="H51" s="26">
        <f>0</f>
        <v>0</v>
      </c>
      <c r="I51" s="26">
        <f>0</f>
        <v>0</v>
      </c>
      <c r="J51" s="26">
        <f>260272.05</f>
        <v>260272.05</v>
      </c>
      <c r="K51" s="26">
        <f>0</f>
        <v>0</v>
      </c>
      <c r="L51" s="26">
        <f>0</f>
        <v>0</v>
      </c>
      <c r="M51" s="26">
        <f>0</f>
        <v>0</v>
      </c>
      <c r="N51" s="26">
        <f>0</f>
        <v>0</v>
      </c>
      <c r="O51" s="15">
        <f>0</f>
        <v>0</v>
      </c>
      <c r="P51" s="15">
        <f>0</f>
        <v>0</v>
      </c>
      <c r="Q51" s="15">
        <f>0</f>
        <v>0</v>
      </c>
    </row>
    <row r="52" spans="1:17" ht="24.75" customHeight="1" x14ac:dyDescent="0.2">
      <c r="A52" s="23" t="s">
        <v>34</v>
      </c>
      <c r="B52" s="26">
        <f>24070466253.31</f>
        <v>24070466253.310001</v>
      </c>
      <c r="C52" s="26">
        <f>24070466253.31</f>
        <v>24070466253.310001</v>
      </c>
      <c r="D52" s="26">
        <f>9385872.5</f>
        <v>9385872.5</v>
      </c>
      <c r="E52" s="26">
        <f>9286645</f>
        <v>9286645</v>
      </c>
      <c r="F52" s="26">
        <f>6750</f>
        <v>6750</v>
      </c>
      <c r="G52" s="26">
        <f>92477.5</f>
        <v>92477.5</v>
      </c>
      <c r="H52" s="26">
        <f>0</f>
        <v>0</v>
      </c>
      <c r="I52" s="26">
        <f>0</f>
        <v>0</v>
      </c>
      <c r="J52" s="26">
        <f>24053816942.3</f>
        <v>24053816942.299999</v>
      </c>
      <c r="K52" s="26">
        <f>74123.65</f>
        <v>74123.649999999994</v>
      </c>
      <c r="L52" s="26">
        <f>7187109.86</f>
        <v>7187109.8600000003</v>
      </c>
      <c r="M52" s="26">
        <f>2205</f>
        <v>2205</v>
      </c>
      <c r="N52" s="26">
        <f>0</f>
        <v>0</v>
      </c>
      <c r="O52" s="15">
        <f>0</f>
        <v>0</v>
      </c>
      <c r="P52" s="15">
        <f>0</f>
        <v>0</v>
      </c>
      <c r="Q52" s="15">
        <f>0</f>
        <v>0</v>
      </c>
    </row>
    <row r="53" spans="1:17" ht="24.75" customHeight="1" x14ac:dyDescent="0.2">
      <c r="A53" s="23" t="s">
        <v>35</v>
      </c>
      <c r="B53" s="26">
        <f>7587985083.07</f>
        <v>7587985083.0699997</v>
      </c>
      <c r="C53" s="26">
        <f>7587985083.07</f>
        <v>7587985083.0699997</v>
      </c>
      <c r="D53" s="26">
        <f>238811.16</f>
        <v>238811.16</v>
      </c>
      <c r="E53" s="26">
        <f>180531.38</f>
        <v>180531.38</v>
      </c>
      <c r="F53" s="26">
        <f>1494.58</f>
        <v>1494.58</v>
      </c>
      <c r="G53" s="26">
        <f>56785.2</f>
        <v>56785.2</v>
      </c>
      <c r="H53" s="26">
        <f>0</f>
        <v>0</v>
      </c>
      <c r="I53" s="26">
        <f>0</f>
        <v>0</v>
      </c>
      <c r="J53" s="26">
        <f>7582342424.13</f>
        <v>7582342424.1300001</v>
      </c>
      <c r="K53" s="26">
        <f>5002364.68</f>
        <v>5002364.68</v>
      </c>
      <c r="L53" s="26">
        <f>285537.35</f>
        <v>285537.34999999998</v>
      </c>
      <c r="M53" s="26">
        <f>115945.75</f>
        <v>115945.75</v>
      </c>
      <c r="N53" s="26">
        <f>0</f>
        <v>0</v>
      </c>
      <c r="O53" s="15">
        <f>0</f>
        <v>0</v>
      </c>
      <c r="P53" s="15">
        <f>0</f>
        <v>0</v>
      </c>
      <c r="Q53" s="15">
        <f>0</f>
        <v>0</v>
      </c>
    </row>
    <row r="54" spans="1:17" ht="24.75" customHeight="1" x14ac:dyDescent="0.2">
      <c r="A54" s="34" t="s">
        <v>44</v>
      </c>
      <c r="B54" s="35">
        <f>9733647776.92</f>
        <v>9733647776.9200001</v>
      </c>
      <c r="C54" s="35">
        <f>9708360509.87</f>
        <v>9708360509.8700008</v>
      </c>
      <c r="D54" s="35">
        <f>98062734.72</f>
        <v>98062734.719999999</v>
      </c>
      <c r="E54" s="35">
        <f>62690710.66</f>
        <v>62690710.659999996</v>
      </c>
      <c r="F54" s="35">
        <f>2189875.51</f>
        <v>2189875.5099999998</v>
      </c>
      <c r="G54" s="35">
        <f>32953794.61</f>
        <v>32953794.609999999</v>
      </c>
      <c r="H54" s="35">
        <f>228353.94</f>
        <v>228353.94</v>
      </c>
      <c r="I54" s="35">
        <f>0</f>
        <v>0</v>
      </c>
      <c r="J54" s="35">
        <f>7197165.25</f>
        <v>7197165.25</v>
      </c>
      <c r="K54" s="35">
        <f>21444819.86</f>
        <v>21444819.859999999</v>
      </c>
      <c r="L54" s="35">
        <f>2115901974.29</f>
        <v>2115901974.29</v>
      </c>
      <c r="M54" s="35">
        <f>7393110680.11</f>
        <v>7393110680.1099997</v>
      </c>
      <c r="N54" s="35">
        <f>72643135.64</f>
        <v>72643135.640000001</v>
      </c>
      <c r="O54" s="35">
        <f>25287267.05</f>
        <v>25287267.050000001</v>
      </c>
      <c r="P54" s="35">
        <f>17240201.82</f>
        <v>17240201.82</v>
      </c>
      <c r="Q54" s="35">
        <f>8047065.23</f>
        <v>8047065.2300000004</v>
      </c>
    </row>
    <row r="55" spans="1:17" ht="24.75" customHeight="1" x14ac:dyDescent="0.2">
      <c r="A55" s="22" t="s">
        <v>36</v>
      </c>
      <c r="B55" s="26">
        <f>1242987833.98</f>
        <v>1242987833.98</v>
      </c>
      <c r="C55" s="26">
        <f>1242496433.84</f>
        <v>1242496433.8399999</v>
      </c>
      <c r="D55" s="26">
        <f>5399888.6</f>
        <v>5399888.5999999996</v>
      </c>
      <c r="E55" s="26">
        <f>1974347.96</f>
        <v>1974347.96</v>
      </c>
      <c r="F55" s="26">
        <f>69539.37</f>
        <v>69539.37</v>
      </c>
      <c r="G55" s="26">
        <f>3240316.44</f>
        <v>3240316.44</v>
      </c>
      <c r="H55" s="26">
        <f>115684.83</f>
        <v>115684.83</v>
      </c>
      <c r="I55" s="26">
        <f>0</f>
        <v>0</v>
      </c>
      <c r="J55" s="26">
        <f>67371.85</f>
        <v>67371.850000000006</v>
      </c>
      <c r="K55" s="26">
        <f>578744.94</f>
        <v>578744.93999999994</v>
      </c>
      <c r="L55" s="26">
        <f>205371221.16</f>
        <v>205371221.16</v>
      </c>
      <c r="M55" s="26">
        <f>1002251100.56</f>
        <v>1002251100.5599999</v>
      </c>
      <c r="N55" s="26">
        <f>28828106.73</f>
        <v>28828106.73</v>
      </c>
      <c r="O55" s="15">
        <f>491400.14</f>
        <v>491400.14</v>
      </c>
      <c r="P55" s="15">
        <f>438831.56</f>
        <v>438831.56</v>
      </c>
      <c r="Q55" s="15">
        <f>52568.58</f>
        <v>52568.58</v>
      </c>
    </row>
    <row r="56" spans="1:17" ht="24.75" customHeight="1" x14ac:dyDescent="0.2">
      <c r="A56" s="23" t="s">
        <v>37</v>
      </c>
      <c r="B56" s="26">
        <f>8490659942.94</f>
        <v>8490659942.9399996</v>
      </c>
      <c r="C56" s="26">
        <f>8465864076.03</f>
        <v>8465864076.0299997</v>
      </c>
      <c r="D56" s="26">
        <f>92662846.12</f>
        <v>92662846.120000005</v>
      </c>
      <c r="E56" s="26">
        <f>60716362.7</f>
        <v>60716362.700000003</v>
      </c>
      <c r="F56" s="26">
        <f>2120336.14</f>
        <v>2120336.14</v>
      </c>
      <c r="G56" s="26">
        <f>29713478.17</f>
        <v>29713478.170000002</v>
      </c>
      <c r="H56" s="26">
        <f>112669.11</f>
        <v>112669.11</v>
      </c>
      <c r="I56" s="26">
        <f>0</f>
        <v>0</v>
      </c>
      <c r="J56" s="26">
        <f>7129793.4</f>
        <v>7129793.4000000004</v>
      </c>
      <c r="K56" s="26">
        <f>20866074.92</f>
        <v>20866074.920000002</v>
      </c>
      <c r="L56" s="26">
        <f>1910530753.13</f>
        <v>1910530753.1300001</v>
      </c>
      <c r="M56" s="26">
        <f>6390859579.55</f>
        <v>6390859579.5500002</v>
      </c>
      <c r="N56" s="26">
        <f>43815028.91</f>
        <v>43815028.909999996</v>
      </c>
      <c r="O56" s="15">
        <f>24795866.91</f>
        <v>24795866.91</v>
      </c>
      <c r="P56" s="15">
        <f>16801370.26</f>
        <v>16801370.260000002</v>
      </c>
      <c r="Q56" s="15">
        <f>7994496.65</f>
        <v>7994496.6500000004</v>
      </c>
    </row>
    <row r="57" spans="1:17" ht="24.75" customHeight="1" x14ac:dyDescent="0.2">
      <c r="A57" s="34" t="s">
        <v>45</v>
      </c>
      <c r="B57" s="35">
        <f>13740967332.67</f>
        <v>13740967332.67</v>
      </c>
      <c r="C57" s="35">
        <f>13739377296.42</f>
        <v>13739377296.42</v>
      </c>
      <c r="D57" s="35">
        <f>611096574.51</f>
        <v>611096574.50999999</v>
      </c>
      <c r="E57" s="35">
        <f>276029694.46</f>
        <v>276029694.45999998</v>
      </c>
      <c r="F57" s="35">
        <f>40613150.5</f>
        <v>40613150.5</v>
      </c>
      <c r="G57" s="35">
        <f>289647919.19</f>
        <v>289647919.19</v>
      </c>
      <c r="H57" s="35">
        <f>4805810.36</f>
        <v>4805810.3600000003</v>
      </c>
      <c r="I57" s="35">
        <f>224850</f>
        <v>224850</v>
      </c>
      <c r="J57" s="35">
        <f>13073829.38</f>
        <v>13073829.380000001</v>
      </c>
      <c r="K57" s="35">
        <f>51255688.99</f>
        <v>51255688.990000002</v>
      </c>
      <c r="L57" s="35">
        <f>7230852635.84</f>
        <v>7230852635.8400002</v>
      </c>
      <c r="M57" s="35">
        <f>5705074810.8</f>
        <v>5705074810.8000002</v>
      </c>
      <c r="N57" s="35">
        <f>127798906.9</f>
        <v>127798906.90000001</v>
      </c>
      <c r="O57" s="35">
        <f>1590036.25</f>
        <v>1590036.25</v>
      </c>
      <c r="P57" s="35">
        <f>1200912.74</f>
        <v>1200912.74</v>
      </c>
      <c r="Q57" s="35">
        <f>389123.51</f>
        <v>389123.51</v>
      </c>
    </row>
    <row r="58" spans="1:17" ht="30" customHeight="1" x14ac:dyDescent="0.2">
      <c r="A58" s="22" t="s">
        <v>38</v>
      </c>
      <c r="B58" s="26">
        <f>789209084.42</f>
        <v>789209084.41999996</v>
      </c>
      <c r="C58" s="26">
        <f>788975887.36</f>
        <v>788975887.36000001</v>
      </c>
      <c r="D58" s="26">
        <f>48983513.39</f>
        <v>48983513.390000001</v>
      </c>
      <c r="E58" s="26">
        <f>2866109.44</f>
        <v>2866109.44</v>
      </c>
      <c r="F58" s="26">
        <f>1151363.36</f>
        <v>1151363.3600000001</v>
      </c>
      <c r="G58" s="26">
        <f>44266296.18</f>
        <v>44266296.18</v>
      </c>
      <c r="H58" s="26">
        <f>699744.41</f>
        <v>699744.41</v>
      </c>
      <c r="I58" s="26">
        <f>0</f>
        <v>0</v>
      </c>
      <c r="J58" s="26">
        <f>1123505.46</f>
        <v>1123505.46</v>
      </c>
      <c r="K58" s="26">
        <f>4099234.01</f>
        <v>4099234.01</v>
      </c>
      <c r="L58" s="26">
        <f>259523382.48</f>
        <v>259523382.47999999</v>
      </c>
      <c r="M58" s="26">
        <f>465697368.97</f>
        <v>465697368.97000003</v>
      </c>
      <c r="N58" s="26">
        <f>9548883.05</f>
        <v>9548883.0500000007</v>
      </c>
      <c r="O58" s="15">
        <f>233197.06</f>
        <v>233197.06</v>
      </c>
      <c r="P58" s="15">
        <f>205856.68</f>
        <v>205856.68</v>
      </c>
      <c r="Q58" s="15">
        <f>27340.38</f>
        <v>27340.38</v>
      </c>
    </row>
    <row r="59" spans="1:17" ht="36" x14ac:dyDescent="0.2">
      <c r="A59" s="22" t="s">
        <v>39</v>
      </c>
      <c r="B59" s="26">
        <f>8622908417.81</f>
        <v>8622908417.8099995</v>
      </c>
      <c r="C59" s="26">
        <f>8621723118.19</f>
        <v>8621723118.1900005</v>
      </c>
      <c r="D59" s="26">
        <f>248872146.18</f>
        <v>248872146.18000001</v>
      </c>
      <c r="E59" s="26">
        <f>122679169.3</f>
        <v>122679169.3</v>
      </c>
      <c r="F59" s="26">
        <f>27709983.83</f>
        <v>27709983.829999998</v>
      </c>
      <c r="G59" s="26">
        <f>96056774.32</f>
        <v>96056774.319999993</v>
      </c>
      <c r="H59" s="26">
        <f>2426218.73</f>
        <v>2426218.73</v>
      </c>
      <c r="I59" s="26">
        <f>224850</f>
        <v>224850</v>
      </c>
      <c r="J59" s="26">
        <f>10269360.8</f>
        <v>10269360.800000001</v>
      </c>
      <c r="K59" s="26">
        <f>35792521.97</f>
        <v>35792521.969999999</v>
      </c>
      <c r="L59" s="26">
        <f>5424033020.57</f>
        <v>5424033020.5699997</v>
      </c>
      <c r="M59" s="26">
        <f>2867087122.46</f>
        <v>2867087122.46</v>
      </c>
      <c r="N59" s="26">
        <f>35444096.21</f>
        <v>35444096.210000001</v>
      </c>
      <c r="O59" s="15">
        <f>1185299.62</f>
        <v>1185299.6200000001</v>
      </c>
      <c r="P59" s="15">
        <f>962361.69</f>
        <v>962361.69</v>
      </c>
      <c r="Q59" s="15">
        <f>222937.93</f>
        <v>222937.93</v>
      </c>
    </row>
    <row r="60" spans="1:17" ht="30.75" customHeight="1" x14ac:dyDescent="0.2">
      <c r="A60" s="22" t="s">
        <v>40</v>
      </c>
      <c r="B60" s="26">
        <f>4328849830.44</f>
        <v>4328849830.4399996</v>
      </c>
      <c r="C60" s="26">
        <f>4328678290.87</f>
        <v>4328678290.8699999</v>
      </c>
      <c r="D60" s="26">
        <f>313240914.94</f>
        <v>313240914.94</v>
      </c>
      <c r="E60" s="26">
        <f>150484415.72</f>
        <v>150484415.72</v>
      </c>
      <c r="F60" s="26">
        <f>11751803.31</f>
        <v>11751803.310000001</v>
      </c>
      <c r="G60" s="26">
        <f>149324848.69</f>
        <v>149324848.69</v>
      </c>
      <c r="H60" s="26">
        <f>1679847.22</f>
        <v>1679847.22</v>
      </c>
      <c r="I60" s="26">
        <f>0</f>
        <v>0</v>
      </c>
      <c r="J60" s="26">
        <f>1680963.12</f>
        <v>1680963.12</v>
      </c>
      <c r="K60" s="26">
        <f>11363933.01</f>
        <v>11363933.01</v>
      </c>
      <c r="L60" s="26">
        <f>1547296232.79</f>
        <v>1547296232.79</v>
      </c>
      <c r="M60" s="26">
        <f>2372290319.37</f>
        <v>2372290319.3699999</v>
      </c>
      <c r="N60" s="26">
        <f>82805927.64</f>
        <v>82805927.640000001</v>
      </c>
      <c r="O60" s="15">
        <f>171539.57</f>
        <v>171539.57</v>
      </c>
      <c r="P60" s="15">
        <f>32694.37</f>
        <v>32694.37</v>
      </c>
      <c r="Q60" s="15">
        <f>138845.2</f>
        <v>138845.20000000001</v>
      </c>
    </row>
    <row r="77" spans="1:13" ht="75" customHeight="1" x14ac:dyDescent="0.2">
      <c r="A77" s="51" t="str">
        <f>CONCATENATE("Informacja z wykonania budżetów gmin za ",$C$104," ",$B$105," roku   ",$B$107,"")</f>
        <v xml:space="preserve">Informacja z wykonania budżetów gmin za II Kwartały 2022 roku   </v>
      </c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</row>
    <row r="78" spans="1:13" ht="13.5" customHeight="1" x14ac:dyDescent="0.2">
      <c r="B78" s="55" t="s">
        <v>2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</row>
    <row r="80" spans="1:13" ht="13.5" customHeight="1" x14ac:dyDescent="0.2">
      <c r="B80" s="80" t="s">
        <v>0</v>
      </c>
      <c r="C80" s="81"/>
      <c r="D80" s="81"/>
      <c r="E80" s="82"/>
      <c r="F80" s="90" t="s">
        <v>72</v>
      </c>
      <c r="G80" s="62" t="s">
        <v>78</v>
      </c>
      <c r="H80" s="63"/>
      <c r="I80" s="63"/>
      <c r="J80" s="63"/>
      <c r="K80" s="63"/>
      <c r="L80" s="64"/>
    </row>
    <row r="81" spans="1:13" ht="13.5" customHeight="1" x14ac:dyDescent="0.2">
      <c r="B81" s="83"/>
      <c r="C81" s="84"/>
      <c r="D81" s="84"/>
      <c r="E81" s="85"/>
      <c r="F81" s="91"/>
      <c r="G81" s="93" t="s">
        <v>73</v>
      </c>
      <c r="H81" s="46" t="s">
        <v>70</v>
      </c>
      <c r="I81" s="46" t="s">
        <v>71</v>
      </c>
      <c r="J81" s="46" t="s">
        <v>74</v>
      </c>
      <c r="K81" s="46" t="s">
        <v>75</v>
      </c>
      <c r="L81" s="94" t="s">
        <v>76</v>
      </c>
    </row>
    <row r="82" spans="1:13" ht="13.5" customHeight="1" x14ac:dyDescent="0.2">
      <c r="B82" s="83"/>
      <c r="C82" s="84"/>
      <c r="D82" s="84"/>
      <c r="E82" s="85"/>
      <c r="F82" s="91"/>
      <c r="G82" s="93"/>
      <c r="H82" s="46"/>
      <c r="I82" s="46"/>
      <c r="J82" s="46"/>
      <c r="K82" s="46"/>
      <c r="L82" s="94"/>
    </row>
    <row r="83" spans="1:13" ht="11.25" customHeight="1" x14ac:dyDescent="0.2">
      <c r="B83" s="83"/>
      <c r="C83" s="84"/>
      <c r="D83" s="84"/>
      <c r="E83" s="85"/>
      <c r="F83" s="91"/>
      <c r="G83" s="93"/>
      <c r="H83" s="46"/>
      <c r="I83" s="46"/>
      <c r="J83" s="46"/>
      <c r="K83" s="46"/>
      <c r="L83" s="94"/>
    </row>
    <row r="84" spans="1:13" ht="11.25" customHeight="1" x14ac:dyDescent="0.2">
      <c r="B84" s="86"/>
      <c r="C84" s="87"/>
      <c r="D84" s="87"/>
      <c r="E84" s="88"/>
      <c r="F84" s="92"/>
      <c r="G84" s="93"/>
      <c r="H84" s="46"/>
      <c r="I84" s="46"/>
      <c r="J84" s="46"/>
      <c r="K84" s="46"/>
      <c r="L84" s="94"/>
    </row>
    <row r="85" spans="1:13" ht="11.25" customHeight="1" x14ac:dyDescent="0.2">
      <c r="B85" s="46">
        <v>1</v>
      </c>
      <c r="C85" s="46"/>
      <c r="D85" s="46"/>
      <c r="E85" s="46"/>
      <c r="F85" s="3">
        <v>2</v>
      </c>
      <c r="G85" s="3">
        <v>3</v>
      </c>
      <c r="H85" s="3">
        <v>4</v>
      </c>
      <c r="I85" s="3">
        <v>5</v>
      </c>
      <c r="J85" s="3">
        <v>6</v>
      </c>
      <c r="K85" s="3">
        <v>7</v>
      </c>
      <c r="L85" s="13">
        <v>8</v>
      </c>
    </row>
    <row r="86" spans="1:13" ht="13.5" customHeight="1" x14ac:dyDescent="0.2">
      <c r="B86" s="46"/>
      <c r="C86" s="46"/>
      <c r="D86" s="46"/>
      <c r="E86" s="46"/>
      <c r="F86" s="62" t="s">
        <v>80</v>
      </c>
      <c r="G86" s="38"/>
      <c r="H86" s="38"/>
      <c r="I86" s="38"/>
      <c r="J86" s="38"/>
      <c r="K86" s="38"/>
      <c r="L86" s="39"/>
    </row>
    <row r="87" spans="1:13" ht="33.75" customHeight="1" x14ac:dyDescent="0.2">
      <c r="B87" s="73" t="s">
        <v>57</v>
      </c>
      <c r="C87" s="74"/>
      <c r="D87" s="74"/>
      <c r="E87" s="75"/>
      <c r="F87" s="33">
        <f>1017718129.49</f>
        <v>1017718129.49</v>
      </c>
      <c r="G87" s="33">
        <f>411448497.53</f>
        <v>411448497.52999997</v>
      </c>
      <c r="H87" s="33">
        <f>22332574.55</f>
        <v>22332574.550000001</v>
      </c>
      <c r="I87" s="33">
        <f>166873637.91</f>
        <v>166873637.91</v>
      </c>
      <c r="J87" s="33">
        <f>217581133.03</f>
        <v>217581133.03</v>
      </c>
      <c r="K87" s="33">
        <f>4661152.04</f>
        <v>4661152.04</v>
      </c>
      <c r="L87" s="33">
        <f>606269631.96</f>
        <v>606269631.96000004</v>
      </c>
    </row>
    <row r="88" spans="1:13" ht="33.75" customHeight="1" x14ac:dyDescent="0.2">
      <c r="B88" s="73" t="s">
        <v>58</v>
      </c>
      <c r="C88" s="74"/>
      <c r="D88" s="74"/>
      <c r="E88" s="75"/>
      <c r="F88" s="33">
        <f>1035116</f>
        <v>1035116</v>
      </c>
      <c r="G88" s="33">
        <f>1035116</f>
        <v>1035116</v>
      </c>
      <c r="H88" s="33">
        <f>40364</f>
        <v>40364</v>
      </c>
      <c r="I88" s="33">
        <f>0</f>
        <v>0</v>
      </c>
      <c r="J88" s="33">
        <f>994752</f>
        <v>994752</v>
      </c>
      <c r="K88" s="33">
        <f>0</f>
        <v>0</v>
      </c>
      <c r="L88" s="33">
        <f>0</f>
        <v>0</v>
      </c>
    </row>
    <row r="89" spans="1:13" ht="33.75" customHeight="1" x14ac:dyDescent="0.2">
      <c r="B89" s="73" t="s">
        <v>59</v>
      </c>
      <c r="C89" s="74"/>
      <c r="D89" s="74"/>
      <c r="E89" s="75"/>
      <c r="F89" s="33">
        <f>43169254.3</f>
        <v>43169254.299999997</v>
      </c>
      <c r="G89" s="33">
        <f>27403581.59</f>
        <v>27403581.59</v>
      </c>
      <c r="H89" s="33">
        <f>1456851</f>
        <v>1456851</v>
      </c>
      <c r="I89" s="33">
        <f>23416666.55</f>
        <v>23416666.550000001</v>
      </c>
      <c r="J89" s="33">
        <f>2420478</f>
        <v>2420478</v>
      </c>
      <c r="K89" s="33">
        <f>109586.04</f>
        <v>109586.04</v>
      </c>
      <c r="L89" s="33">
        <f>15765672.71</f>
        <v>15765672.710000001</v>
      </c>
    </row>
    <row r="90" spans="1:13" ht="22.5" customHeight="1" x14ac:dyDescent="0.2">
      <c r="B90" s="73" t="s">
        <v>60</v>
      </c>
      <c r="C90" s="74"/>
      <c r="D90" s="74"/>
      <c r="E90" s="75"/>
      <c r="F90" s="33">
        <f>12561982.22</f>
        <v>12561982.220000001</v>
      </c>
      <c r="G90" s="33">
        <f>0</f>
        <v>0</v>
      </c>
      <c r="H90" s="33">
        <f>0</f>
        <v>0</v>
      </c>
      <c r="I90" s="33">
        <f>0</f>
        <v>0</v>
      </c>
      <c r="J90" s="33">
        <f>0</f>
        <v>0</v>
      </c>
      <c r="K90" s="33">
        <f>0</f>
        <v>0</v>
      </c>
      <c r="L90" s="33">
        <f>12561982.22</f>
        <v>12561982.220000001</v>
      </c>
    </row>
    <row r="91" spans="1:13" ht="33.75" customHeight="1" x14ac:dyDescent="0.2">
      <c r="B91" s="73" t="s">
        <v>61</v>
      </c>
      <c r="C91" s="74"/>
      <c r="D91" s="74"/>
      <c r="E91" s="75"/>
      <c r="F91" s="33">
        <f>20920.28</f>
        <v>20920.28</v>
      </c>
      <c r="G91" s="33">
        <f>0</f>
        <v>0</v>
      </c>
      <c r="H91" s="33">
        <f>0</f>
        <v>0</v>
      </c>
      <c r="I91" s="33">
        <f>0</f>
        <v>0</v>
      </c>
      <c r="J91" s="33">
        <f>0</f>
        <v>0</v>
      </c>
      <c r="K91" s="33">
        <f>0</f>
        <v>0</v>
      </c>
      <c r="L91" s="33">
        <f>20920.28</f>
        <v>20920.28</v>
      </c>
    </row>
    <row r="92" spans="1:13" ht="33.75" customHeight="1" x14ac:dyDescent="0.2">
      <c r="B92" s="73" t="s">
        <v>62</v>
      </c>
      <c r="C92" s="74"/>
      <c r="D92" s="74"/>
      <c r="E92" s="75"/>
      <c r="F92" s="33">
        <f>2063683.34</f>
        <v>2063683.34</v>
      </c>
      <c r="G92" s="33">
        <f>0</f>
        <v>0</v>
      </c>
      <c r="H92" s="33">
        <f>0</f>
        <v>0</v>
      </c>
      <c r="I92" s="33">
        <f>0</f>
        <v>0</v>
      </c>
      <c r="J92" s="33">
        <f>0</f>
        <v>0</v>
      </c>
      <c r="K92" s="33">
        <f>0</f>
        <v>0</v>
      </c>
      <c r="L92" s="33">
        <f>2063683.34</f>
        <v>2063683.34</v>
      </c>
    </row>
    <row r="93" spans="1:13" ht="22.5" customHeight="1" x14ac:dyDescent="0.2">
      <c r="B93" s="73" t="s">
        <v>63</v>
      </c>
      <c r="C93" s="74"/>
      <c r="D93" s="74"/>
      <c r="E93" s="75"/>
      <c r="F93" s="33">
        <f>93000</f>
        <v>93000</v>
      </c>
      <c r="G93" s="33">
        <f>0</f>
        <v>0</v>
      </c>
      <c r="H93" s="33">
        <f>0</f>
        <v>0</v>
      </c>
      <c r="I93" s="33">
        <f>0</f>
        <v>0</v>
      </c>
      <c r="J93" s="33">
        <f>0</f>
        <v>0</v>
      </c>
      <c r="K93" s="33">
        <f>0</f>
        <v>0</v>
      </c>
      <c r="L93" s="33">
        <f>93000</f>
        <v>93000</v>
      </c>
    </row>
    <row r="96" spans="1:13" ht="75" customHeight="1" x14ac:dyDescent="0.2">
      <c r="A96" s="51" t="str">
        <f>CONCATENATE("Informacja z wykonania budżetów gmin za ",$C$104," ",$B$105," roku   ",$B$107,"")</f>
        <v xml:space="preserve">Informacja z wykonania budżetów gmin za II Kwartały 2022 roku   </v>
      </c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</row>
    <row r="97" spans="1:11" ht="13.5" customHeight="1" x14ac:dyDescent="0.2">
      <c r="B97" s="4"/>
    </row>
    <row r="98" spans="1:11" ht="13.5" customHeight="1" x14ac:dyDescent="0.2">
      <c r="B98" s="5"/>
      <c r="C98" s="62"/>
      <c r="D98" s="63"/>
      <c r="E98" s="63"/>
      <c r="F98" s="64"/>
      <c r="G98" s="62" t="s">
        <v>3</v>
      </c>
      <c r="H98" s="64"/>
      <c r="I98" s="62" t="s">
        <v>4</v>
      </c>
      <c r="J98" s="64"/>
      <c r="K98" s="5"/>
    </row>
    <row r="99" spans="1:11" ht="13.5" customHeight="1" x14ac:dyDescent="0.2">
      <c r="B99" s="6"/>
      <c r="C99" s="70" t="s">
        <v>5</v>
      </c>
      <c r="D99" s="71"/>
      <c r="E99" s="71"/>
      <c r="F99" s="72"/>
      <c r="G99" s="66">
        <f>1870</f>
        <v>1870</v>
      </c>
      <c r="H99" s="67"/>
      <c r="I99" s="68">
        <f>6572044482.66001</f>
        <v>6572044482.6600103</v>
      </c>
      <c r="J99" s="69"/>
      <c r="K99" s="7"/>
    </row>
    <row r="100" spans="1:11" ht="13.5" customHeight="1" x14ac:dyDescent="0.2">
      <c r="B100" s="6"/>
      <c r="C100" s="73" t="s">
        <v>6</v>
      </c>
      <c r="D100" s="74"/>
      <c r="E100" s="74"/>
      <c r="F100" s="75"/>
      <c r="G100" s="76">
        <f>541</f>
        <v>541</v>
      </c>
      <c r="H100" s="77"/>
      <c r="I100" s="78">
        <f>-952659631.51</f>
        <v>-952659631.50999999</v>
      </c>
      <c r="J100" s="79"/>
      <c r="K100" s="7"/>
    </row>
    <row r="101" spans="1:11" ht="13.5" customHeight="1" x14ac:dyDescent="0.2">
      <c r="B101" s="6"/>
      <c r="C101" s="70" t="s">
        <v>7</v>
      </c>
      <c r="D101" s="71"/>
      <c r="E101" s="71"/>
      <c r="F101" s="72"/>
      <c r="G101" s="66">
        <f>0</f>
        <v>0</v>
      </c>
      <c r="H101" s="67"/>
      <c r="I101" s="68">
        <f>0</f>
        <v>0</v>
      </c>
      <c r="J101" s="69"/>
      <c r="K101" s="7"/>
    </row>
    <row r="104" spans="1:11" ht="13.5" customHeight="1" x14ac:dyDescent="0.2">
      <c r="A104" s="8" t="s">
        <v>8</v>
      </c>
      <c r="B104" s="8">
        <f>2</f>
        <v>2</v>
      </c>
      <c r="C104" s="8" t="str">
        <f>IF(B104=1,"I Kwartał",IF(B104=2,"II Kwartały",IF(B104=3,"III Kwartały",IF(B104=4,"IV Kwartały","-"))))</f>
        <v>II Kwartały</v>
      </c>
    </row>
    <row r="105" spans="1:11" ht="13.5" customHeight="1" x14ac:dyDescent="0.2">
      <c r="A105" s="8" t="s">
        <v>9</v>
      </c>
      <c r="B105" s="8">
        <f>2022</f>
        <v>2022</v>
      </c>
      <c r="C105" s="9"/>
    </row>
    <row r="106" spans="1:11" ht="13.5" customHeight="1" x14ac:dyDescent="0.2">
      <c r="A106" s="8" t="s">
        <v>10</v>
      </c>
      <c r="B106" s="10" t="str">
        <f>"Aug 18 2022 12:00AM"</f>
        <v>Aug 18 2022 12:00AM</v>
      </c>
      <c r="C106" s="9"/>
    </row>
    <row r="107" spans="1:11" ht="13.5" customHeight="1" x14ac:dyDescent="0.2">
      <c r="A107" s="16" t="s">
        <v>79</v>
      </c>
      <c r="B107" s="10" t="str">
        <f>""</f>
        <v/>
      </c>
    </row>
  </sheetData>
  <mergeCells count="79">
    <mergeCell ref="O6:Q6"/>
    <mergeCell ref="O7:O10"/>
    <mergeCell ref="A77:M77"/>
    <mergeCell ref="L39:L41"/>
    <mergeCell ref="P39:P41"/>
    <mergeCell ref="Q39:Q41"/>
    <mergeCell ref="B86:E86"/>
    <mergeCell ref="B80:E84"/>
    <mergeCell ref="B93:E93"/>
    <mergeCell ref="A96:M96"/>
    <mergeCell ref="B89:E89"/>
    <mergeCell ref="B90:E90"/>
    <mergeCell ref="B91:E91"/>
    <mergeCell ref="B92:E92"/>
    <mergeCell ref="B88:E88"/>
    <mergeCell ref="B87:E87"/>
    <mergeCell ref="F80:F84"/>
    <mergeCell ref="G81:G84"/>
    <mergeCell ref="B85:E85"/>
    <mergeCell ref="F86:L86"/>
    <mergeCell ref="L81:L84"/>
    <mergeCell ref="G101:H101"/>
    <mergeCell ref="I101:J101"/>
    <mergeCell ref="C98:F98"/>
    <mergeCell ref="C99:F99"/>
    <mergeCell ref="C100:F100"/>
    <mergeCell ref="C101:F101"/>
    <mergeCell ref="G99:H99"/>
    <mergeCell ref="G98:H98"/>
    <mergeCell ref="G100:H100"/>
    <mergeCell ref="I100:J100"/>
    <mergeCell ref="I99:J99"/>
    <mergeCell ref="I98:J98"/>
    <mergeCell ref="A1:M1"/>
    <mergeCell ref="C5:M5"/>
    <mergeCell ref="A3:M3"/>
    <mergeCell ref="K7:K10"/>
    <mergeCell ref="C7:C10"/>
    <mergeCell ref="H7:H10"/>
    <mergeCell ref="I7:I10"/>
    <mergeCell ref="J7:J10"/>
    <mergeCell ref="G80:L80"/>
    <mergeCell ref="H81:H84"/>
    <mergeCell ref="I81:I84"/>
    <mergeCell ref="J81:J84"/>
    <mergeCell ref="B78:M78"/>
    <mergeCell ref="D39:D41"/>
    <mergeCell ref="M39:M41"/>
    <mergeCell ref="B43:Q43"/>
    <mergeCell ref="Q7:Q10"/>
    <mergeCell ref="C38:N38"/>
    <mergeCell ref="L7:L10"/>
    <mergeCell ref="M7:M10"/>
    <mergeCell ref="N7:N10"/>
    <mergeCell ref="P7:P10"/>
    <mergeCell ref="A34:M34"/>
    <mergeCell ref="O38:Q38"/>
    <mergeCell ref="A36:M36"/>
    <mergeCell ref="B6:B10"/>
    <mergeCell ref="A6:A10"/>
    <mergeCell ref="C6:N6"/>
    <mergeCell ref="D7:D10"/>
    <mergeCell ref="E7:E10"/>
    <mergeCell ref="G7:G10"/>
    <mergeCell ref="F7:F10"/>
    <mergeCell ref="B12:Q12"/>
    <mergeCell ref="A38:A41"/>
    <mergeCell ref="C39:C41"/>
    <mergeCell ref="E39:E41"/>
    <mergeCell ref="K81:K84"/>
    <mergeCell ref="F39:F41"/>
    <mergeCell ref="G39:G41"/>
    <mergeCell ref="H39:H41"/>
    <mergeCell ref="K39:K41"/>
    <mergeCell ref="I39:I41"/>
    <mergeCell ref="J39:J41"/>
    <mergeCell ref="B38:B41"/>
    <mergeCell ref="N39:N41"/>
    <mergeCell ref="O39:O41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33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2016-08-26T11:23:29Z</cp:lastPrinted>
  <dcterms:created xsi:type="dcterms:W3CDTF">2001-05-17T08:58:03Z</dcterms:created>
  <dcterms:modified xsi:type="dcterms:W3CDTF">2022-08-19T13:17:20Z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2022-08-19T15:17:16.5025628+02:00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GRN-bdc03f7d-3845-451d-9061-432243ea4854</vt:lpwstr>
  </property>
  <property fmtid="{D5CDD505-2E9C-101B-9397-08002B2CF9AE}" pid="7" name="MFHash">
    <vt:lpwstr>RoWCHkGXQYklacpHJYSYeD53Ka+yg8Ms0iXgGbx+0t0=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