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'doch_wyd'!$A$1:$M$105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<sst xmlns="http://schemas.openxmlformats.org/spreadsheetml/2006/main" count="262" uniqueCount="106">
  <si>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</si>
  <si>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</si>
  <si>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</si>
  <si>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</si>
  <si>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</si>
  <si>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</si>
  <si>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</si>
  <si>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</si>
  <si>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</si>
  <si>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</si>
  <si>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</si>
  <si>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</si>
  <si>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</si>
  <si>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</si>
  <si>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</si>
  <si>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</si>
  <si>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</si>
  <si>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</si>
  <si>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</si>
  <si>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</si>
  <si>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</si>
  <si>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</si>
  <si>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</si>
  <si>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</si>
  <si>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</si>
  <si>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</si>
  <si>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</si>
  <si>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</si>
  <si>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</si>
  <si>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</si>
  <si>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</si>
  <si>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</si>
  <si>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</si>
  <si>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</si>
  <si>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</si>
  <si>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</si>
  <si>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</si>
  <si>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</si>
  <si>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</si>
  <si>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</si>
  <si>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</si>
  <si>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</si>
  <si>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</si>
  <si>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</si>
  <si>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</si>
  <si>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</si>
  <si>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</si>
  <si>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</si>
  <si>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</si>
  <si>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</si>
  <si>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</si>
  <si>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</si>
  <si>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</si>
  <si>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</si>
  <si>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</si>
  <si>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</si>
  <si>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</si>
  <si>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</si>
  <si>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</si>
  <si>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</si>
  <si>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</si>
  <si>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</si>
  <si>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</si>
  <si>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</si>
  <si>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</si>
  <si>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</si>
  <si>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</si>
  <si>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</si>
  <si>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</si>
  <si>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</si>
  <si>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</si>
  <si>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</si>
  <si>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</si>
  <si>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</si>
  <si>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</si>
  <si>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</si>
  <si>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</si>
  <si>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</si>
  <si>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</si>
  <si>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</si>
  <si>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</si>
  <si>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</si>
  <si>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</si>
  <si>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</si>
  <si>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</si>
  <si>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</si>
  <si>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</si>
  <si>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</si>
  <si>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</si>
  <si>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</si>
  <si>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</si>
  <si>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</si>
  <si>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</si>
  <si>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</si>
  <si>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</si>
  <si>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</si>
  <si>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</si>
  <si>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</si>
  <si>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</si>
  <si>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</si>
  <si>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</si>
  <si>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</si>
  <si>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wydatki na wynagrodzenia i pochodne od wynagrodzeń</t>
  </si>
  <si>
    <t>niewykorzystane środki pienężne o których mowa w art.217 ust.2 pkt.8 ustawy o finansach publicznych</t>
  </si>
  <si>
    <t>otrzymane ze środków z Funduszu Przeciwdziałania COVID-19 (m.in.. z Rządowego Funduszu Inwestycji Lokalnych)</t>
  </si>
  <si>
    <t>Informacja z wykonania budżetów jednostek samorządu terytorialnego za III Kwartały 2021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</si>
</sst>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" fillId="52" borderId="19" xfId="0" applyFont="1" applyFill="1" applyBorder="1" applyAlignment="1">
      <alignment horizontal="left" vertical="center" wrapText="1" indent="1"/>
    </xf>
    <xf numFmtId="4" fontId="7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14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94" t="s">
        <v>105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ht="12.75"/>
    <row r="3" spans="2:13" ht="66.75" customHeight="1">
      <c r="B3" s="95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5"/>
      <c r="C4" s="96" t="s">
        <v>81</v>
      </c>
      <c r="D4" s="96"/>
      <c r="E4" s="96"/>
      <c r="F4" s="96"/>
      <c r="G4" s="96"/>
      <c r="H4" s="96"/>
      <c r="I4" s="96"/>
      <c r="J4" s="96"/>
      <c r="K4" s="96" t="s">
        <v>4</v>
      </c>
      <c r="L4" s="96"/>
      <c r="M4" s="96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312801269206.12</f>
        <v>312801269206.12</v>
      </c>
      <c r="D6" s="69">
        <f>238688749191.91</f>
        <v>238688749191.91</v>
      </c>
      <c r="E6" s="69">
        <f>230757520347.98</f>
        <v>230757520347.98</v>
      </c>
      <c r="F6" s="69">
        <f>2749894535.13</f>
        <v>2749894535.13</v>
      </c>
      <c r="G6" s="69">
        <f>743874988.76</f>
        <v>743874988.76</v>
      </c>
      <c r="H6" s="69">
        <f>123875526.78</f>
        <v>123875526.78</v>
      </c>
      <c r="I6" s="69">
        <f>207451774.33</f>
        <v>207451774.33</v>
      </c>
      <c r="J6" s="69">
        <f>3763169.62</f>
        <v>3763169.62</v>
      </c>
      <c r="K6" s="70">
        <f aca="true" t="shared" si="0" ref="K6:K48">IF($D$6=0,"",100*$D6/$D$6)</f>
        <v>100</v>
      </c>
      <c r="L6" s="70">
        <f aca="true" t="shared" si="1" ref="L6:L52">IF(C6=0,"",100*D6/C6)</f>
        <v>76.30683526243186</v>
      </c>
      <c r="M6" s="70"/>
    </row>
    <row r="7" spans="2:13" ht="38.25" customHeight="1">
      <c r="B7" s="20" t="s">
        <v>62</v>
      </c>
      <c r="C7" s="25">
        <f>C6-C22-C42</f>
        <v>148817412645.23</v>
      </c>
      <c r="D7" s="25">
        <f>D6-D22-D42</f>
        <v>114926496029.97</v>
      </c>
      <c r="E7" s="25">
        <f>E6-E22-E42</f>
        <v>111386421059.68002</v>
      </c>
      <c r="F7" s="25">
        <f>F6</f>
        <v>2749894535.13</v>
      </c>
      <c r="G7" s="25">
        <f>G6</f>
        <v>743874988.76</v>
      </c>
      <c r="H7" s="25">
        <f>H6</f>
        <v>123875526.78</v>
      </c>
      <c r="I7" s="25">
        <f>I6</f>
        <v>207451774.33</v>
      </c>
      <c r="J7" s="25">
        <f>J6</f>
        <v>3763169.62</v>
      </c>
      <c r="K7" s="31">
        <f t="shared" si="0"/>
        <v>48.149104814976866</v>
      </c>
      <c r="L7" s="31">
        <f t="shared" si="1"/>
        <v>77.2265113249526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11080628066.66</f>
        <v>11080628066.66</v>
      </c>
      <c r="D8" s="23">
        <f>10299292677.02</f>
        <v>10299292677.02</v>
      </c>
      <c r="E8" s="23">
        <f>10404475409.39</f>
        <v>10404475409.39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4.314946855219885</v>
      </c>
      <c r="L8" s="32">
        <f t="shared" si="1"/>
        <v>92.94863626015095</v>
      </c>
      <c r="M8" s="32">
        <f t="shared" si="2"/>
        <v>8.961634638485975</v>
      </c>
    </row>
    <row r="9" spans="2:13" ht="32.25" customHeight="1">
      <c r="B9" s="21" t="s">
        <v>19</v>
      </c>
      <c r="C9" s="23">
        <f>57399539986.46</f>
        <v>57399539986.46</v>
      </c>
      <c r="D9" s="23">
        <f>43444572259</f>
        <v>43444572259</v>
      </c>
      <c r="E9" s="23">
        <f>39884860464.48</f>
        <v>39884860464.48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18.20134899784061</v>
      </c>
      <c r="L9" s="32">
        <f t="shared" si="1"/>
        <v>75.68801469358144</v>
      </c>
      <c r="M9" s="32">
        <f t="shared" si="2"/>
        <v>37.8020506669504</v>
      </c>
    </row>
    <row r="10" spans="2:13" ht="32.25" customHeight="1">
      <c r="B10" s="21" t="s">
        <v>20</v>
      </c>
      <c r="C10" s="23">
        <f>1672799007.68</f>
        <v>1672799007.68</v>
      </c>
      <c r="D10" s="23">
        <f>1305137802.04</f>
        <v>1305137802.04</v>
      </c>
      <c r="E10" s="23">
        <f>1304268009.72</f>
        <v>1304268009.72</v>
      </c>
      <c r="F10" s="23">
        <f>107735647.96</f>
        <v>107735647.96</v>
      </c>
      <c r="G10" s="23">
        <f>889892.49</f>
        <v>889892.49</v>
      </c>
      <c r="H10" s="23">
        <f>2726203.2</f>
        <v>2726203.2</v>
      </c>
      <c r="I10" s="23">
        <f>1825951.49</f>
        <v>1825951.49</v>
      </c>
      <c r="J10" s="24">
        <f>2601.08</f>
        <v>2601.08</v>
      </c>
      <c r="K10" s="32">
        <f t="shared" si="0"/>
        <v>0.5467948558357252</v>
      </c>
      <c r="L10" s="32">
        <f t="shared" si="1"/>
        <v>78.02119657221053</v>
      </c>
      <c r="M10" s="32">
        <f t="shared" si="2"/>
        <v>1.1356282903636532</v>
      </c>
    </row>
    <row r="11" spans="2:13" ht="32.25" customHeight="1">
      <c r="B11" s="21" t="s">
        <v>21</v>
      </c>
      <c r="C11" s="23">
        <f>25535110158.07</f>
        <v>25535110158.07</v>
      </c>
      <c r="D11" s="23">
        <f>19814822096.99</f>
        <v>19814822096.99</v>
      </c>
      <c r="E11" s="23">
        <f>19814594710.29</f>
        <v>19814594710.29</v>
      </c>
      <c r="F11" s="23">
        <f>1750485238.24</f>
        <v>1750485238.24</v>
      </c>
      <c r="G11" s="23">
        <f>622151587.04</f>
        <v>622151587.04</v>
      </c>
      <c r="H11" s="23">
        <f>102042035.83</f>
        <v>102042035.83</v>
      </c>
      <c r="I11" s="23">
        <f>175639961.56</f>
        <v>175639961.56</v>
      </c>
      <c r="J11" s="24">
        <f>3336917.45</f>
        <v>3336917.45</v>
      </c>
      <c r="K11" s="32">
        <f t="shared" si="0"/>
        <v>8.301531665850966</v>
      </c>
      <c r="L11" s="32">
        <f t="shared" si="1"/>
        <v>77.59834194695188</v>
      </c>
      <c r="M11" s="32">
        <f t="shared" si="2"/>
        <v>17.241300119184686</v>
      </c>
    </row>
    <row r="12" spans="2:13" ht="32.25" customHeight="1">
      <c r="B12" s="21" t="s">
        <v>22</v>
      </c>
      <c r="C12" s="23">
        <f>307150939.01</f>
        <v>307150939.01</v>
      </c>
      <c r="D12" s="23">
        <f>237973205.45</f>
        <v>237973205.45</v>
      </c>
      <c r="E12" s="23">
        <f>237919444.18</f>
        <v>237919444.18</v>
      </c>
      <c r="F12" s="23">
        <f>962470.15</f>
        <v>962470.15</v>
      </c>
      <c r="G12" s="23">
        <f>461690.06</f>
        <v>461690.06</v>
      </c>
      <c r="H12" s="23">
        <f>78915.85</f>
        <v>78915.85</v>
      </c>
      <c r="I12" s="23">
        <f>37650.34</f>
        <v>37650.34</v>
      </c>
      <c r="J12" s="24">
        <f>185.24</f>
        <v>185.24</v>
      </c>
      <c r="K12" s="32">
        <f t="shared" si="0"/>
        <v>0.09970021890670067</v>
      </c>
      <c r="L12" s="32">
        <f t="shared" si="1"/>
        <v>77.47760961338042</v>
      </c>
      <c r="M12" s="32">
        <f t="shared" si="2"/>
        <v>0.20706557118729388</v>
      </c>
    </row>
    <row r="13" spans="2:13" ht="32.25" customHeight="1">
      <c r="B13" s="21" t="s">
        <v>23</v>
      </c>
      <c r="C13" s="23">
        <f>1215669432.98</f>
        <v>1215669432.98</v>
      </c>
      <c r="D13" s="23">
        <f>1106903969.94</f>
        <v>1106903969.94</v>
      </c>
      <c r="E13" s="23">
        <f>1106309003.67</f>
        <v>1106309003.67</v>
      </c>
      <c r="F13" s="23">
        <f>886336924.89</f>
        <v>886336924.89</v>
      </c>
      <c r="G13" s="23">
        <f>2540973.43</f>
        <v>2540973.43</v>
      </c>
      <c r="H13" s="23">
        <f>5092713.34</f>
        <v>5092713.34</v>
      </c>
      <c r="I13" s="23">
        <f>6363584.62</f>
        <v>6363584.62</v>
      </c>
      <c r="J13" s="24">
        <f>30830.84</f>
        <v>30830.84</v>
      </c>
      <c r="K13" s="32">
        <f t="shared" si="0"/>
        <v>0.4637436719105807</v>
      </c>
      <c r="L13" s="32">
        <f t="shared" si="1"/>
        <v>91.05303957726562</v>
      </c>
      <c r="M13" s="32">
        <f t="shared" si="2"/>
        <v>0.9631407970981267</v>
      </c>
    </row>
    <row r="14" spans="2:13" ht="43.5" customHeight="1">
      <c r="B14" s="21" t="s">
        <v>46</v>
      </c>
      <c r="C14" s="23">
        <f>87341984.04</f>
        <v>87341984.04</v>
      </c>
      <c r="D14" s="23">
        <f>125304693.02</f>
        <v>125304693.02</v>
      </c>
      <c r="E14" s="23">
        <f>124592444.16</f>
        <v>124592444.16</v>
      </c>
      <c r="F14" s="23">
        <f>0</f>
        <v>0</v>
      </c>
      <c r="G14" s="23">
        <f>0</f>
        <v>0</v>
      </c>
      <c r="H14" s="23">
        <f>95740.58</f>
        <v>95740.58</v>
      </c>
      <c r="I14" s="23">
        <f>285113.81</f>
        <v>285113.81</v>
      </c>
      <c r="J14" s="24">
        <f>0</f>
        <v>0</v>
      </c>
      <c r="K14" s="32">
        <f t="shared" si="0"/>
        <v>0.052497109077920046</v>
      </c>
      <c r="L14" s="32">
        <f t="shared" si="1"/>
        <v>143.46444541792664</v>
      </c>
      <c r="M14" s="32">
        <f t="shared" si="2"/>
        <v>0.10903029096730106</v>
      </c>
    </row>
    <row r="15" spans="2:13" ht="32.25" customHeight="1">
      <c r="B15" s="21" t="s">
        <v>28</v>
      </c>
      <c r="C15" s="23">
        <f>302630866.02</f>
        <v>302630866.02</v>
      </c>
      <c r="D15" s="23">
        <f>300830974.75</f>
        <v>300830974.75</v>
      </c>
      <c r="E15" s="23">
        <f>297952921.41</f>
        <v>297952921.41</v>
      </c>
      <c r="F15" s="23">
        <f>0</f>
        <v>0</v>
      </c>
      <c r="G15" s="23">
        <f>0</f>
        <v>0</v>
      </c>
      <c r="H15" s="23">
        <f>3725376.23</f>
        <v>3725376.23</v>
      </c>
      <c r="I15" s="23">
        <f>8879152.08</f>
        <v>8879152.08</v>
      </c>
      <c r="J15" s="24">
        <f>0</f>
        <v>0</v>
      </c>
      <c r="K15" s="32">
        <f t="shared" si="0"/>
        <v>0.12603483648411368</v>
      </c>
      <c r="L15" s="32">
        <f t="shared" si="1"/>
        <v>99.40525191839453</v>
      </c>
      <c r="M15" s="32">
        <f t="shared" si="2"/>
        <v>0.2617594594300958</v>
      </c>
    </row>
    <row r="16" spans="2:13" ht="32.25" customHeight="1">
      <c r="B16" s="21" t="s">
        <v>29</v>
      </c>
      <c r="C16" s="23">
        <f>2912760148.07</f>
        <v>2912760148.07</v>
      </c>
      <c r="D16" s="23">
        <f>3221427353.63</f>
        <v>3221427353.63</v>
      </c>
      <c r="E16" s="23">
        <f>3215653200.85</f>
        <v>3215653200.85</v>
      </c>
      <c r="F16" s="23">
        <f>0</f>
        <v>0</v>
      </c>
      <c r="G16" s="23">
        <f>0</f>
        <v>0</v>
      </c>
      <c r="H16" s="23">
        <f>211140.19</f>
        <v>211140.19</v>
      </c>
      <c r="I16" s="23">
        <f>657008.06</f>
        <v>657008.06</v>
      </c>
      <c r="J16" s="24">
        <f>0</f>
        <v>0</v>
      </c>
      <c r="K16" s="32">
        <f t="shared" si="0"/>
        <v>1.349635189985396</v>
      </c>
      <c r="L16" s="32">
        <f t="shared" si="1"/>
        <v>110.59706909834382</v>
      </c>
      <c r="M16" s="32">
        <f t="shared" si="2"/>
        <v>2.803032777393588</v>
      </c>
    </row>
    <row r="17" spans="2:13" ht="32.25" customHeight="1">
      <c r="B17" s="21" t="s">
        <v>30</v>
      </c>
      <c r="C17" s="23">
        <f>504572325.16</f>
        <v>504572325.16</v>
      </c>
      <c r="D17" s="23">
        <f>432442684.54</f>
        <v>432442684.54</v>
      </c>
      <c r="E17" s="23">
        <f>432224771.56</f>
        <v>432224771.56</v>
      </c>
      <c r="F17" s="23">
        <f>0</f>
        <v>0</v>
      </c>
      <c r="G17" s="23">
        <f>0</f>
        <v>0</v>
      </c>
      <c r="H17" s="23">
        <f>5128</f>
        <v>5128</v>
      </c>
      <c r="I17" s="23">
        <f>4121</f>
        <v>4121</v>
      </c>
      <c r="J17" s="24">
        <f>0</f>
        <v>0</v>
      </c>
      <c r="K17" s="32">
        <f t="shared" si="0"/>
        <v>0.18117430587074232</v>
      </c>
      <c r="L17" s="32">
        <f t="shared" si="1"/>
        <v>85.70479651314056</v>
      </c>
      <c r="M17" s="32">
        <f t="shared" si="2"/>
        <v>0.37627762046032415</v>
      </c>
    </row>
    <row r="18" spans="2:13" ht="32.25" customHeight="1">
      <c r="B18" s="21" t="s">
        <v>31</v>
      </c>
      <c r="C18" s="23">
        <f>441683043.2</f>
        <v>441683043.2</v>
      </c>
      <c r="D18" s="23">
        <f>422436917.09</f>
        <v>422436917.09</v>
      </c>
      <c r="E18" s="23">
        <f>422260772.07</f>
        <v>422260772.07</v>
      </c>
      <c r="F18" s="23">
        <f>0</f>
        <v>0</v>
      </c>
      <c r="G18" s="23">
        <f>0</f>
        <v>0</v>
      </c>
      <c r="H18" s="23">
        <f>2639.89</f>
        <v>2639.89</v>
      </c>
      <c r="I18" s="23">
        <f>138666.34</f>
        <v>138666.34</v>
      </c>
      <c r="J18" s="24">
        <f>0</f>
        <v>0</v>
      </c>
      <c r="K18" s="32">
        <f t="shared" si="0"/>
        <v>0.17698233306771957</v>
      </c>
      <c r="L18" s="32">
        <f t="shared" si="1"/>
        <v>95.64254811084403</v>
      </c>
      <c r="M18" s="32">
        <f t="shared" si="2"/>
        <v>0.3675713883940557</v>
      </c>
    </row>
    <row r="19" spans="2:13" ht="32.25" customHeight="1">
      <c r="B19" s="21" t="s">
        <v>32</v>
      </c>
      <c r="C19" s="23">
        <f>3490541.98</f>
        <v>3490541.98</v>
      </c>
      <c r="D19" s="23">
        <f>1696975.31</f>
        <v>1696975.31</v>
      </c>
      <c r="E19" s="23">
        <f>1703331.31</f>
        <v>1703331.31</v>
      </c>
      <c r="F19" s="23">
        <f>62383.97</f>
        <v>62383.97</v>
      </c>
      <c r="G19" s="23">
        <f>0</f>
        <v>0</v>
      </c>
      <c r="H19" s="23">
        <f>4582.5</f>
        <v>4582.5</v>
      </c>
      <c r="I19" s="23">
        <f>136539.53</f>
        <v>136539.53</v>
      </c>
      <c r="J19" s="24">
        <f>0</f>
        <v>0</v>
      </c>
      <c r="K19" s="32">
        <f t="shared" si="0"/>
        <v>0.0007109573935701517</v>
      </c>
      <c r="L19" s="32">
        <f t="shared" si="1"/>
        <v>48.61638449625522</v>
      </c>
      <c r="M19" s="32">
        <f t="shared" si="2"/>
        <v>0.0014765744790108894</v>
      </c>
    </row>
    <row r="20" spans="2:13" ht="32.25" customHeight="1">
      <c r="B20" s="21" t="s">
        <v>24</v>
      </c>
      <c r="C20" s="23">
        <f>9868093071.77</f>
        <v>9868093071.77</v>
      </c>
      <c r="D20" s="23">
        <f>6963691702.85</f>
        <v>6963691702.85</v>
      </c>
      <c r="E20" s="23">
        <f>6961925713.89</f>
        <v>6961925713.89</v>
      </c>
      <c r="F20" s="23">
        <f>0</f>
        <v>0</v>
      </c>
      <c r="G20" s="23">
        <f>278302.37</f>
        <v>278302.37</v>
      </c>
      <c r="H20" s="23">
        <f>0</f>
        <v>0</v>
      </c>
      <c r="I20" s="23">
        <f>105760.7</f>
        <v>105760.7</v>
      </c>
      <c r="J20" s="24">
        <f>0</f>
        <v>0</v>
      </c>
      <c r="K20" s="32">
        <f t="shared" si="0"/>
        <v>2.9174779818595757</v>
      </c>
      <c r="L20" s="32">
        <f t="shared" si="1"/>
        <v>70.5677546026727</v>
      </c>
      <c r="M20" s="32">
        <f t="shared" si="2"/>
        <v>6.059256954144013</v>
      </c>
    </row>
    <row r="21" spans="2:13" ht="32.25" customHeight="1">
      <c r="B21" s="21" t="s">
        <v>25</v>
      </c>
      <c r="C21" s="23">
        <f>C7-C8-C9-C10-C11-C12-C13-C14-C15-C16-C17-C18-C19-C20</f>
        <v>37485943074.13002</v>
      </c>
      <c r="D21" s="23">
        <f aca="true" t="shared" si="3" ref="D21:J21">D7-D8-D9-D10-D11-D12-D13-D14-D15-D16-D17-D18-D19-D20</f>
        <v>27249962718.340004</v>
      </c>
      <c r="E21" s="23">
        <f t="shared" si="3"/>
        <v>27177680862.700016</v>
      </c>
      <c r="F21" s="23">
        <f t="shared" si="3"/>
        <v>4311869.920000105</v>
      </c>
      <c r="G21" s="23">
        <f t="shared" si="3"/>
        <v>117552543.37</v>
      </c>
      <c r="H21" s="23">
        <f t="shared" si="3"/>
        <v>9891051.169999998</v>
      </c>
      <c r="I21" s="23">
        <f t="shared" si="3"/>
        <v>13378264.800000003</v>
      </c>
      <c r="J21" s="24">
        <f t="shared" si="3"/>
        <v>392635.00999999983</v>
      </c>
      <c r="K21" s="32">
        <f t="shared" si="0"/>
        <v>11.416525835673365</v>
      </c>
      <c r="L21" s="32">
        <f t="shared" si="1"/>
        <v>72.69381662467998</v>
      </c>
      <c r="M21" s="32">
        <f t="shared" si="2"/>
        <v>23.71077485146148</v>
      </c>
    </row>
    <row r="22" spans="2:13" ht="36.75" customHeight="1">
      <c r="B22" s="68" t="s">
        <v>70</v>
      </c>
      <c r="C22" s="69">
        <f>C23+C38+C40</f>
        <v>94387714009.88998</v>
      </c>
      <c r="D22" s="69">
        <f>D23+D38+D40</f>
        <v>66416732697.939995</v>
      </c>
      <c r="E22" s="69">
        <f>E23+E38+E40</f>
        <v>65965638951.29998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27.82566540014827</v>
      </c>
      <c r="L22" s="70">
        <f t="shared" si="1"/>
        <v>70.36586635733208</v>
      </c>
      <c r="M22" s="73"/>
    </row>
    <row r="23" spans="2:13" ht="36.75" customHeight="1">
      <c r="B23" s="68" t="s">
        <v>63</v>
      </c>
      <c r="C23" s="69">
        <f>C24+C26+C28+C30+C32+C34+C36</f>
        <v>72534488358.66998</v>
      </c>
      <c r="D23" s="69">
        <f>D24+D26+D28+D30+D32+D34+D36</f>
        <v>56211003388.01001</v>
      </c>
      <c r="E23" s="69">
        <f>E24+E26+E28+E30+E32+E34+E36</f>
        <v>55801776823.12999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23.549917446178146</v>
      </c>
      <c r="L23" s="70">
        <f t="shared" si="1"/>
        <v>77.4955537151606</v>
      </c>
      <c r="M23" s="73"/>
    </row>
    <row r="24" spans="2:13" ht="33.75" customHeight="1">
      <c r="B24" s="71" t="s">
        <v>9</v>
      </c>
      <c r="C24" s="24">
        <f>60240532602.42</f>
        <v>60240532602.42</v>
      </c>
      <c r="D24" s="24">
        <f>47409400388.48</f>
        <v>47409400388.48</v>
      </c>
      <c r="E24" s="24">
        <f>47259198846.46</f>
        <v>47259198846.46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19.86243614287911</v>
      </c>
      <c r="L24" s="32">
        <f t="shared" si="1"/>
        <v>78.70016804362626</v>
      </c>
      <c r="M24" s="28"/>
    </row>
    <row r="25" spans="2:13" ht="21" customHeight="1">
      <c r="B25" s="74" t="s">
        <v>6</v>
      </c>
      <c r="C25" s="24">
        <f>150149783.36</f>
        <v>150149783.36</v>
      </c>
      <c r="D25" s="24">
        <f>85260590.44</f>
        <v>85260590.44</v>
      </c>
      <c r="E25" s="24">
        <f>85259419.86</f>
        <v>85259419.86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0.03572040606381869</v>
      </c>
      <c r="L25" s="32">
        <f t="shared" si="1"/>
        <v>56.78369194551463</v>
      </c>
      <c r="M25" s="28"/>
    </row>
    <row r="26" spans="2:13" ht="33.75" customHeight="1">
      <c r="B26" s="71" t="s">
        <v>7</v>
      </c>
      <c r="C26" s="24">
        <f>6198928001.94</f>
        <v>6198928001.94</v>
      </c>
      <c r="D26" s="24">
        <f>4300486015.37</f>
        <v>4300486015.37</v>
      </c>
      <c r="E26" s="24">
        <f>4290234172.31</f>
        <v>4290234172.31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1.8017129127072231</v>
      </c>
      <c r="L26" s="32">
        <f t="shared" si="1"/>
        <v>69.3746727502583</v>
      </c>
      <c r="M26" s="28"/>
    </row>
    <row r="27" spans="2:13" ht="21" customHeight="1">
      <c r="B27" s="74" t="s">
        <v>6</v>
      </c>
      <c r="C27" s="24">
        <f>696437800.28</f>
        <v>696437800.28</v>
      </c>
      <c r="D27" s="24">
        <f>246300012.11</f>
        <v>246300012.11</v>
      </c>
      <c r="E27" s="24">
        <f>246278757.46</f>
        <v>246278757.46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0.10318878160108436</v>
      </c>
      <c r="L27" s="32">
        <f t="shared" si="1"/>
        <v>35.36568693011437</v>
      </c>
      <c r="M27" s="28"/>
    </row>
    <row r="28" spans="2:13" ht="39.75" customHeight="1">
      <c r="B28" s="71" t="s">
        <v>10</v>
      </c>
      <c r="C28" s="24">
        <f>256840972.68</f>
        <v>256840972.68</v>
      </c>
      <c r="D28" s="24">
        <f>172122493.75</f>
        <v>172122493.75</v>
      </c>
      <c r="E28" s="24">
        <f>169535270.38</f>
        <v>169535270.38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0.07211169120150294</v>
      </c>
      <c r="L28" s="32">
        <f t="shared" si="1"/>
        <v>67.01520086689932</v>
      </c>
      <c r="M28" s="28"/>
    </row>
    <row r="29" spans="2:13" ht="21" customHeight="1">
      <c r="B29" s="74" t="s">
        <v>6</v>
      </c>
      <c r="C29" s="24">
        <f>24467085.52</f>
        <v>24467085.52</v>
      </c>
      <c r="D29" s="24">
        <f>9763742.45</f>
        <v>9763742.45</v>
      </c>
      <c r="E29" s="24">
        <f>9654645.65</f>
        <v>9654645.65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0.004090575061897776</v>
      </c>
      <c r="L29" s="32">
        <f t="shared" si="1"/>
        <v>39.90562113341564</v>
      </c>
      <c r="M29" s="28"/>
    </row>
    <row r="30" spans="2:13" ht="39.75" customHeight="1">
      <c r="B30" s="71" t="s">
        <v>11</v>
      </c>
      <c r="C30" s="24">
        <f>1558212526.08</f>
        <v>1558212526.08</v>
      </c>
      <c r="D30" s="24">
        <f>962356816.829999</f>
        <v>962356816.829999</v>
      </c>
      <c r="E30" s="24">
        <f>961138316.1</f>
        <v>961138316.1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0.4031848254633263</v>
      </c>
      <c r="L30" s="32">
        <f t="shared" si="1"/>
        <v>61.7603055246259</v>
      </c>
      <c r="M30" s="28"/>
    </row>
    <row r="31" spans="2:13" ht="21" customHeight="1">
      <c r="B31" s="74" t="s">
        <v>6</v>
      </c>
      <c r="C31" s="24">
        <f>377364696.38</f>
        <v>377364696.38</v>
      </c>
      <c r="D31" s="24">
        <f>109233737.9</f>
        <v>109233737.9</v>
      </c>
      <c r="E31" s="24">
        <f>109111601.27</f>
        <v>109111601.27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0.04576409163390191</v>
      </c>
      <c r="L31" s="32">
        <f t="shared" si="1"/>
        <v>28.94646450710997</v>
      </c>
      <c r="M31" s="28"/>
    </row>
    <row r="32" spans="2:13" ht="39.75" customHeight="1">
      <c r="B32" s="71" t="s">
        <v>82</v>
      </c>
      <c r="C32" s="24">
        <f>1564698870.36</f>
        <v>1564698870.36</v>
      </c>
      <c r="D32" s="24">
        <f>713985311.51</f>
        <v>713985311.51</v>
      </c>
      <c r="E32" s="24">
        <f>713560422.15</f>
        <v>713560422.15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0.2991281800785437</v>
      </c>
      <c r="L32" s="32">
        <f t="shared" si="1"/>
        <v>45.63084469702014</v>
      </c>
      <c r="M32" s="28"/>
    </row>
    <row r="33" spans="2:13" ht="24" customHeight="1">
      <c r="B33" s="74" t="s">
        <v>6</v>
      </c>
      <c r="C33" s="24">
        <f>1290016729.1</f>
        <v>1290016729.1</v>
      </c>
      <c r="D33" s="24">
        <f>545779393.13</f>
        <v>545779393.13</v>
      </c>
      <c r="E33" s="24">
        <f>545613350.87</f>
        <v>545613350.87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0.2286573602558802</v>
      </c>
      <c r="L33" s="32">
        <f t="shared" si="1"/>
        <v>42.30793142587937</v>
      </c>
      <c r="M33" s="28"/>
    </row>
    <row r="34" spans="2:13" ht="22.5" customHeight="1">
      <c r="B34" s="71" t="s">
        <v>8</v>
      </c>
      <c r="C34" s="24">
        <f>670881454.43</f>
        <v>670881454.43</v>
      </c>
      <c r="D34" s="24">
        <f>231967939.93</f>
        <v>231967939.93</v>
      </c>
      <c r="E34" s="24">
        <f>230932074.31</f>
        <v>230932074.31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0.0971842789889915</v>
      </c>
      <c r="L34" s="32">
        <f t="shared" si="1"/>
        <v>34.57659149738855</v>
      </c>
      <c r="M34" s="28"/>
    </row>
    <row r="35" spans="2:13" ht="21" customHeight="1">
      <c r="B35" s="74" t="s">
        <v>6</v>
      </c>
      <c r="C35" s="24">
        <f>494834911.56</f>
        <v>494834911.56</v>
      </c>
      <c r="D35" s="24">
        <f>146553952.41</f>
        <v>146553952.41</v>
      </c>
      <c r="E35" s="24">
        <f>145461478.18</f>
        <v>145461478.18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0.061399606351855325</v>
      </c>
      <c r="L35" s="32">
        <f t="shared" si="1"/>
        <v>29.616736609787477</v>
      </c>
      <c r="M35" s="28"/>
    </row>
    <row r="36" spans="2:13" ht="45">
      <c r="B36" s="86" t="s">
        <v>104</v>
      </c>
      <c r="C36" s="24">
        <f>2044393930.76</f>
        <v>2044393930.76</v>
      </c>
      <c r="D36" s="24">
        <f>2420684422.14</f>
        <v>2420684422.14</v>
      </c>
      <c r="E36" s="24">
        <f>2177177721.42</f>
        <v>2177177721.42</v>
      </c>
      <c r="F36" s="24" t="s">
        <v>61</v>
      </c>
      <c r="G36" s="24" t="s">
        <v>61</v>
      </c>
      <c r="H36" s="24" t="s">
        <v>61</v>
      </c>
      <c r="I36" s="24" t="s">
        <v>61</v>
      </c>
      <c r="J36" s="24" t="s">
        <v>61</v>
      </c>
      <c r="K36" s="32">
        <f t="shared" si="0"/>
        <v>1.014159414859444</v>
      </c>
      <c r="L36" s="32">
        <f t="shared" si="1"/>
        <v>118.40596793594054</v>
      </c>
      <c r="M36" s="28"/>
    </row>
    <row r="37" spans="2:13" ht="21" customHeight="1">
      <c r="B37" s="29" t="s">
        <v>6</v>
      </c>
      <c r="C37" s="24">
        <f>1882114688.1</f>
        <v>1882114688.1</v>
      </c>
      <c r="D37" s="24">
        <f>2302406319.25</f>
        <v>2302406319.25</v>
      </c>
      <c r="E37" s="24">
        <f>2059054139.25</f>
        <v>2059054139.25</v>
      </c>
      <c r="F37" s="24" t="s">
        <v>61</v>
      </c>
      <c r="G37" s="24" t="s">
        <v>61</v>
      </c>
      <c r="H37" s="24" t="s">
        <v>61</v>
      </c>
      <c r="I37" s="24" t="s">
        <v>61</v>
      </c>
      <c r="J37" s="24" t="s">
        <v>61</v>
      </c>
      <c r="K37" s="32">
        <f t="shared" si="0"/>
        <v>0.9646061354147968</v>
      </c>
      <c r="L37" s="32">
        <f t="shared" si="1"/>
        <v>122.33081936012547</v>
      </c>
      <c r="M37" s="28"/>
    </row>
    <row r="38" spans="2:13" ht="25.5" customHeight="1">
      <c r="B38" s="68" t="s">
        <v>72</v>
      </c>
      <c r="C38" s="69">
        <f>3000850235.92</f>
        <v>3000850235.92</v>
      </c>
      <c r="D38" s="69">
        <f>1606705457.2</f>
        <v>1606705457.2</v>
      </c>
      <c r="E38" s="69">
        <f>1598158601.53</f>
        <v>1598158601.53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0.6731383287396508</v>
      </c>
      <c r="L38" s="70">
        <f t="shared" si="1"/>
        <v>53.541674221786565</v>
      </c>
      <c r="M38" s="28"/>
    </row>
    <row r="39" spans="2:13" ht="19.5" customHeight="1">
      <c r="B39" s="29" t="s">
        <v>73</v>
      </c>
      <c r="C39" s="23">
        <f>2174106002.44</f>
        <v>2174106002.44</v>
      </c>
      <c r="D39" s="23">
        <f>1055834003.25</f>
        <v>1055834003.25</v>
      </c>
      <c r="E39" s="23">
        <f>1053876677.11</f>
        <v>1053876677.11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0.4423476208344829</v>
      </c>
      <c r="L39" s="32">
        <f t="shared" si="1"/>
        <v>48.56405354959864</v>
      </c>
      <c r="M39" s="28"/>
    </row>
    <row r="40" spans="2:13" ht="25.5" customHeight="1">
      <c r="B40" s="68" t="s">
        <v>90</v>
      </c>
      <c r="C40" s="69">
        <f>18852375415.3</f>
        <v>18852375415.3</v>
      </c>
      <c r="D40" s="69">
        <f>8599023852.72999</f>
        <v>8599023852.72999</v>
      </c>
      <c r="E40" s="69">
        <f>8565703526.63999</f>
        <v>8565703526.63999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3.6026096252304805</v>
      </c>
      <c r="L40" s="70">
        <f t="shared" si="1"/>
        <v>45.61241574762664</v>
      </c>
      <c r="M40" s="28"/>
    </row>
    <row r="41" spans="2:13" ht="21" customHeight="1">
      <c r="B41" s="29" t="s">
        <v>91</v>
      </c>
      <c r="C41" s="23">
        <f>14998232544.23</f>
        <v>14998232544.23</v>
      </c>
      <c r="D41" s="23">
        <f>6051130373.07</f>
        <v>6051130373.07</v>
      </c>
      <c r="E41" s="23">
        <f>6041142990.22</f>
        <v>6041142990.22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2.535155257026708</v>
      </c>
      <c r="L41" s="32">
        <f t="shared" si="1"/>
        <v>40.34562309408879</v>
      </c>
      <c r="M41" s="28"/>
    </row>
    <row r="42" spans="2:13" ht="35.25" customHeight="1">
      <c r="B42" s="68" t="s">
        <v>64</v>
      </c>
      <c r="C42" s="69">
        <f>C43+C44+C45+C46+C47+C48</f>
        <v>69596142551</v>
      </c>
      <c r="D42" s="69">
        <f>D43+D44+D45+D46+D47+D48</f>
        <v>57345520464</v>
      </c>
      <c r="E42" s="69">
        <f>E43+E44+E45+E46+E47+E48</f>
        <v>53405460337</v>
      </c>
      <c r="F42" s="72" t="s">
        <v>61</v>
      </c>
      <c r="G42" s="72" t="s">
        <v>61</v>
      </c>
      <c r="H42" s="72" t="s">
        <v>61</v>
      </c>
      <c r="I42" s="72" t="s">
        <v>61</v>
      </c>
      <c r="J42" s="72" t="s">
        <v>61</v>
      </c>
      <c r="K42" s="70">
        <f t="shared" si="0"/>
        <v>24.025229784874853</v>
      </c>
      <c r="L42" s="70">
        <f t="shared" si="1"/>
        <v>82.3975559018623</v>
      </c>
      <c r="M42" s="28"/>
    </row>
    <row r="43" spans="2:13" ht="26.25" customHeight="1">
      <c r="B43" s="21" t="s">
        <v>50</v>
      </c>
      <c r="C43" s="23">
        <f>14239758494</f>
        <v>14239758494</v>
      </c>
      <c r="D43" s="23">
        <f>10679570577</f>
        <v>10679570577</v>
      </c>
      <c r="E43" s="23">
        <f>10679609427</f>
        <v>10679609427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4.474266429882472</v>
      </c>
      <c r="L43" s="32">
        <f t="shared" si="1"/>
        <v>74.9982563362988</v>
      </c>
      <c r="M43" s="28"/>
    </row>
    <row r="44" spans="2:13" ht="26.25" customHeight="1">
      <c r="B44" s="21" t="s">
        <v>49</v>
      </c>
      <c r="C44" s="23">
        <f>51984178847</f>
        <v>51984178847</v>
      </c>
      <c r="D44" s="23">
        <f>44069865597</f>
        <v>44069865597</v>
      </c>
      <c r="E44" s="23">
        <f>40129673471</f>
        <v>40129673471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18.463319174531783</v>
      </c>
      <c r="L44" s="32">
        <f t="shared" si="1"/>
        <v>84.77553473857223</v>
      </c>
      <c r="M44" s="28"/>
    </row>
    <row r="45" spans="2:13" ht="26.25" customHeight="1">
      <c r="B45" s="21" t="s">
        <v>48</v>
      </c>
      <c r="C45" s="23">
        <f>3078384</f>
        <v>3078384</v>
      </c>
      <c r="D45" s="23">
        <f>0</f>
        <v>0</v>
      </c>
      <c r="E45" s="23">
        <f>0</f>
        <v>0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</v>
      </c>
      <c r="L45" s="32">
        <f t="shared" si="1"/>
        <v>0</v>
      </c>
      <c r="M45" s="28"/>
    </row>
    <row r="46" spans="2:13" ht="26.25" customHeight="1">
      <c r="B46" s="21" t="s">
        <v>47</v>
      </c>
      <c r="C46" s="23">
        <f>2135274163</f>
        <v>2135274163</v>
      </c>
      <c r="D46" s="23">
        <f>1601379567</f>
        <v>1601379567</v>
      </c>
      <c r="E46" s="23">
        <f>1601472716</f>
        <v>1601472716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0.6709070169505402</v>
      </c>
      <c r="L46" s="32">
        <f t="shared" si="1"/>
        <v>74.99643815059828</v>
      </c>
      <c r="M46" s="28"/>
    </row>
    <row r="47" spans="2:13" ht="26.25" customHeight="1">
      <c r="B47" s="21" t="s">
        <v>60</v>
      </c>
      <c r="C47" s="23">
        <f>577712674</f>
        <v>577712674</v>
      </c>
      <c r="D47" s="23">
        <f>431205723</f>
        <v>431205723</v>
      </c>
      <c r="E47" s="23">
        <f>431205723</f>
        <v>431205723</v>
      </c>
      <c r="F47" s="23" t="s">
        <v>61</v>
      </c>
      <c r="G47" s="23" t="s">
        <v>61</v>
      </c>
      <c r="H47" s="23" t="s">
        <v>61</v>
      </c>
      <c r="I47" s="23" t="s">
        <v>61</v>
      </c>
      <c r="J47" s="23" t="s">
        <v>61</v>
      </c>
      <c r="K47" s="32">
        <f t="shared" si="0"/>
        <v>0.18065607384506546</v>
      </c>
      <c r="L47" s="32">
        <f t="shared" si="1"/>
        <v>74.64017017566763</v>
      </c>
      <c r="M47" s="28"/>
    </row>
    <row r="48" spans="2:13" ht="26.25" customHeight="1">
      <c r="B48" s="21" t="s">
        <v>45</v>
      </c>
      <c r="C48" s="23">
        <f>656139989</f>
        <v>656139989</v>
      </c>
      <c r="D48" s="23">
        <f>563499000</f>
        <v>563499000</v>
      </c>
      <c r="E48" s="23">
        <f>563499000</f>
        <v>563499000</v>
      </c>
      <c r="F48" s="23" t="s">
        <v>61</v>
      </c>
      <c r="G48" s="23" t="s">
        <v>61</v>
      </c>
      <c r="H48" s="23" t="s">
        <v>61</v>
      </c>
      <c r="I48" s="23" t="s">
        <v>61</v>
      </c>
      <c r="J48" s="23" t="s">
        <v>61</v>
      </c>
      <c r="K48" s="32">
        <f t="shared" si="0"/>
        <v>0.2360810896649916</v>
      </c>
      <c r="L48" s="32">
        <f t="shared" si="1"/>
        <v>85.88091100175271</v>
      </c>
      <c r="M48" s="28"/>
    </row>
    <row r="49" spans="1:13" s="6" customFormat="1" ht="13.5" customHeight="1">
      <c r="A49" s="3"/>
      <c r="B49" s="22"/>
      <c r="C49" s="8"/>
      <c r="D49" s="9"/>
      <c r="E49" s="9"/>
      <c r="F49" s="16"/>
      <c r="G49" s="16"/>
      <c r="H49" s="16"/>
      <c r="I49" s="16"/>
      <c r="J49" s="16"/>
      <c r="K49" s="10"/>
      <c r="L49" s="10"/>
      <c r="M49" s="4"/>
    </row>
    <row r="50" spans="1:13" s="6" customFormat="1" ht="18.75" customHeight="1">
      <c r="A50" s="3"/>
      <c r="B50" s="75" t="s">
        <v>5</v>
      </c>
      <c r="C50" s="76">
        <f aca="true" t="shared" si="4" ref="C50:J50">+C6</f>
        <v>312801269206.12</v>
      </c>
      <c r="D50" s="76">
        <f t="shared" si="4"/>
        <v>238688749191.91</v>
      </c>
      <c r="E50" s="76">
        <f t="shared" si="4"/>
        <v>230757520347.98</v>
      </c>
      <c r="F50" s="76">
        <f t="shared" si="4"/>
        <v>2749894535.13</v>
      </c>
      <c r="G50" s="76">
        <f t="shared" si="4"/>
        <v>743874988.76</v>
      </c>
      <c r="H50" s="76">
        <f t="shared" si="4"/>
        <v>123875526.78</v>
      </c>
      <c r="I50" s="76">
        <f t="shared" si="4"/>
        <v>207451774.33</v>
      </c>
      <c r="J50" s="76">
        <f t="shared" si="4"/>
        <v>3763169.62</v>
      </c>
      <c r="K50" s="77">
        <f>IF($D$50=0,"",100*$D50/$D$50)</f>
        <v>100</v>
      </c>
      <c r="L50" s="77">
        <f t="shared" si="1"/>
        <v>76.30683526243186</v>
      </c>
      <c r="M50" s="4"/>
    </row>
    <row r="51" spans="1:13" s="6" customFormat="1" ht="24.75" customHeight="1">
      <c r="A51" s="3"/>
      <c r="B51" s="66" t="s">
        <v>76</v>
      </c>
      <c r="C51" s="67">
        <f>34294484771.31</f>
        <v>34294484771.31</v>
      </c>
      <c r="D51" s="67">
        <f>18314470843.98</f>
        <v>18314470843.98</v>
      </c>
      <c r="E51" s="67">
        <f>18005272102.97</f>
        <v>18005272102.97</v>
      </c>
      <c r="F51" s="67">
        <f>0</f>
        <v>0</v>
      </c>
      <c r="G51" s="67">
        <f>29161.43</f>
        <v>29161.43</v>
      </c>
      <c r="H51" s="67">
        <f>0</f>
        <v>0</v>
      </c>
      <c r="I51" s="67">
        <f>105760.7</f>
        <v>105760.7</v>
      </c>
      <c r="J51" s="67">
        <f>0</f>
        <v>0</v>
      </c>
      <c r="K51" s="33">
        <f>IF($D$50=0,"",100*$D51/$D$50)</f>
        <v>7.672951031828836</v>
      </c>
      <c r="L51" s="33">
        <f t="shared" si="1"/>
        <v>53.403545689951514</v>
      </c>
      <c r="M51" s="4"/>
    </row>
    <row r="52" spans="1:13" s="6" customFormat="1" ht="24.75" customHeight="1">
      <c r="A52" s="3"/>
      <c r="B52" s="66" t="s">
        <v>77</v>
      </c>
      <c r="C52" s="67">
        <f>+C50-C51</f>
        <v>278506784434.81</v>
      </c>
      <c r="D52" s="67">
        <f aca="true" t="shared" si="5" ref="D52:J52">+D50-D51</f>
        <v>220374278347.93</v>
      </c>
      <c r="E52" s="67">
        <f t="shared" si="5"/>
        <v>212752248245.01</v>
      </c>
      <c r="F52" s="67">
        <f t="shared" si="5"/>
        <v>2749894535.13</v>
      </c>
      <c r="G52" s="67">
        <f t="shared" si="5"/>
        <v>743845827.33</v>
      </c>
      <c r="H52" s="67">
        <f t="shared" si="5"/>
        <v>123875526.78</v>
      </c>
      <c r="I52" s="67">
        <f t="shared" si="5"/>
        <v>207346013.63000003</v>
      </c>
      <c r="J52" s="67">
        <f t="shared" si="5"/>
        <v>3763169.62</v>
      </c>
      <c r="K52" s="33">
        <f>IF($D$50=0,"",100*$D52/$D$50)</f>
        <v>92.32704896817117</v>
      </c>
      <c r="L52" s="33">
        <f t="shared" si="1"/>
        <v>79.12707720752596</v>
      </c>
      <c r="M52" s="4"/>
    </row>
    <row r="53" spans="1:13" s="6" customFormat="1" ht="13.5" customHeight="1">
      <c r="A53" s="3"/>
      <c r="B53" s="22"/>
      <c r="C53" s="8"/>
      <c r="D53" s="9"/>
      <c r="E53" s="9"/>
      <c r="F53" s="16"/>
      <c r="G53" s="16"/>
      <c r="H53" s="16"/>
      <c r="I53" s="16"/>
      <c r="J53" s="16"/>
      <c r="K53" s="10"/>
      <c r="L53" s="10"/>
      <c r="M53" s="4"/>
    </row>
    <row r="54" spans="2:13" ht="58.5" customHeight="1">
      <c r="B54" s="94" t="s">
        <v>105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 s="6" customFormat="1" ht="13.5" customHeight="1">
      <c r="B55" s="7"/>
      <c r="C55" s="8"/>
      <c r="D55" s="9"/>
      <c r="E55" s="9"/>
      <c r="F55" s="5"/>
      <c r="G55" s="5"/>
      <c r="H55" s="5"/>
      <c r="I55" s="5"/>
      <c r="J55" s="5"/>
      <c r="K55" s="10"/>
      <c r="L55" s="10"/>
      <c r="M55" s="4"/>
    </row>
    <row r="56" spans="2:27" ht="29.25" customHeight="1">
      <c r="B56" s="95" t="s">
        <v>0</v>
      </c>
      <c r="C56" s="106" t="s">
        <v>56</v>
      </c>
      <c r="D56" s="106" t="s">
        <v>57</v>
      </c>
      <c r="E56" s="106" t="s">
        <v>58</v>
      </c>
      <c r="F56" s="106" t="s">
        <v>12</v>
      </c>
      <c r="G56" s="106"/>
      <c r="H56" s="106"/>
      <c r="I56" s="106" t="s">
        <v>92</v>
      </c>
      <c r="J56" s="106"/>
      <c r="K56" s="106" t="s">
        <v>2</v>
      </c>
      <c r="L56" s="108" t="s">
        <v>36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8" customHeight="1">
      <c r="B57" s="95"/>
      <c r="C57" s="106"/>
      <c r="D57" s="97"/>
      <c r="E57" s="106"/>
      <c r="F57" s="101" t="s">
        <v>59</v>
      </c>
      <c r="G57" s="107" t="s">
        <v>34</v>
      </c>
      <c r="H57" s="97"/>
      <c r="I57" s="106"/>
      <c r="J57" s="106"/>
      <c r="K57" s="106"/>
      <c r="L57" s="108"/>
      <c r="M57" s="12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6" customHeight="1">
      <c r="B58" s="95"/>
      <c r="C58" s="106"/>
      <c r="D58" s="97"/>
      <c r="E58" s="106"/>
      <c r="F58" s="97"/>
      <c r="G58" s="18" t="s">
        <v>54</v>
      </c>
      <c r="H58" s="18" t="s">
        <v>55</v>
      </c>
      <c r="I58" s="106"/>
      <c r="J58" s="106"/>
      <c r="K58" s="106"/>
      <c r="L58" s="108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13.5" customHeight="1">
      <c r="B59" s="95"/>
      <c r="C59" s="96" t="s">
        <v>81</v>
      </c>
      <c r="D59" s="96"/>
      <c r="E59" s="96"/>
      <c r="F59" s="96"/>
      <c r="G59" s="96"/>
      <c r="H59" s="96"/>
      <c r="I59" s="96"/>
      <c r="J59" s="96"/>
      <c r="K59" s="96" t="s">
        <v>4</v>
      </c>
      <c r="L59" s="9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11.25" customHeight="1">
      <c r="B60" s="17">
        <v>1</v>
      </c>
      <c r="C60" s="19">
        <v>2</v>
      </c>
      <c r="D60" s="19">
        <v>3</v>
      </c>
      <c r="E60" s="19">
        <v>4</v>
      </c>
      <c r="F60" s="17">
        <v>5</v>
      </c>
      <c r="G60" s="17">
        <v>6</v>
      </c>
      <c r="H60" s="19">
        <v>7</v>
      </c>
      <c r="I60" s="97">
        <v>8</v>
      </c>
      <c r="J60" s="97"/>
      <c r="K60" s="17">
        <v>9</v>
      </c>
      <c r="L60" s="19">
        <v>10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12" ht="44.25" customHeight="1">
      <c r="B61" s="68" t="s">
        <v>65</v>
      </c>
      <c r="C61" s="76">
        <f>343868406722.43</f>
        <v>343868406722.43</v>
      </c>
      <c r="D61" s="76">
        <f>284795206437.24</f>
        <v>284795206437.24</v>
      </c>
      <c r="E61" s="76">
        <f>215252581885.55</f>
        <v>215252581885.55</v>
      </c>
      <c r="F61" s="76">
        <f>7540931805.42</f>
        <v>7540931805.42</v>
      </c>
      <c r="G61" s="76">
        <f>4675655.67</f>
        <v>4675655.67</v>
      </c>
      <c r="H61" s="76">
        <f>21224385.33</f>
        <v>21224385.33</v>
      </c>
      <c r="I61" s="91">
        <f>0</f>
        <v>0</v>
      </c>
      <c r="J61" s="91"/>
      <c r="K61" s="60">
        <f aca="true" t="shared" si="6" ref="K61:K70">IF($E$61=0,"",100*$E61/$E$61)</f>
        <v>100</v>
      </c>
      <c r="L61" s="60">
        <f aca="true" t="shared" si="7" ref="L61:L70">IF(C61=0,"",100*E61/C61)</f>
        <v>62.59737087719766</v>
      </c>
    </row>
    <row r="62" spans="2:12" ht="24" customHeight="1">
      <c r="B62" s="20" t="s">
        <v>14</v>
      </c>
      <c r="C62" s="26">
        <f>73723041787.86</f>
        <v>73723041787.86</v>
      </c>
      <c r="D62" s="26">
        <f>48447553686.1399</f>
        <v>48447553686.1399</v>
      </c>
      <c r="E62" s="26">
        <f>25026217581.76</f>
        <v>25026217581.76</v>
      </c>
      <c r="F62" s="26">
        <f>2375318291.48</f>
        <v>2375318291.48</v>
      </c>
      <c r="G62" s="26">
        <f>1738787.1</f>
        <v>1738787.1</v>
      </c>
      <c r="H62" s="26">
        <f>11145020.88</f>
        <v>11145020.88</v>
      </c>
      <c r="I62" s="90">
        <f>0</f>
        <v>0</v>
      </c>
      <c r="J62" s="98"/>
      <c r="K62" s="34">
        <f t="shared" si="6"/>
        <v>11.626442462402828</v>
      </c>
      <c r="L62" s="34">
        <f t="shared" si="7"/>
        <v>33.946262898068696</v>
      </c>
    </row>
    <row r="63" spans="2:12" ht="22.5" customHeight="1">
      <c r="B63" s="21" t="s">
        <v>13</v>
      </c>
      <c r="C63" s="23">
        <f>70181177102.87</f>
        <v>70181177102.87</v>
      </c>
      <c r="D63" s="23">
        <f>46202653021.2499</f>
        <v>46202653021.2499</v>
      </c>
      <c r="E63" s="23">
        <f>23012520210.44</f>
        <v>23012520210.44</v>
      </c>
      <c r="F63" s="23">
        <f>2263633841.65</f>
        <v>2263633841.65</v>
      </c>
      <c r="G63" s="23">
        <f>1738787.1</f>
        <v>1738787.1</v>
      </c>
      <c r="H63" s="23">
        <f>11145020.88</f>
        <v>11145020.88</v>
      </c>
      <c r="I63" s="88">
        <f>0</f>
        <v>0</v>
      </c>
      <c r="J63" s="89"/>
      <c r="K63" s="35">
        <f t="shared" si="6"/>
        <v>10.690938063951204</v>
      </c>
      <c r="L63" s="35">
        <f t="shared" si="7"/>
        <v>32.79015992665493</v>
      </c>
    </row>
    <row r="64" spans="2:12" ht="44.25" customHeight="1">
      <c r="B64" s="68" t="s">
        <v>66</v>
      </c>
      <c r="C64" s="76">
        <f aca="true" t="shared" si="8" ref="C64:I64">C61-C62</f>
        <v>270145364934.57</v>
      </c>
      <c r="D64" s="76">
        <f t="shared" si="8"/>
        <v>236347652751.1001</v>
      </c>
      <c r="E64" s="76">
        <f t="shared" si="8"/>
        <v>190226364303.78998</v>
      </c>
      <c r="F64" s="76">
        <f t="shared" si="8"/>
        <v>5165613513.940001</v>
      </c>
      <c r="G64" s="76">
        <f t="shared" si="8"/>
        <v>2936868.57</v>
      </c>
      <c r="H64" s="76">
        <f t="shared" si="8"/>
        <v>10079364.449999997</v>
      </c>
      <c r="I64" s="91">
        <f t="shared" si="8"/>
        <v>0</v>
      </c>
      <c r="J64" s="91"/>
      <c r="K64" s="60">
        <f t="shared" si="6"/>
        <v>88.37355753759716</v>
      </c>
      <c r="L64" s="60">
        <f t="shared" si="7"/>
        <v>70.41629766620773</v>
      </c>
    </row>
    <row r="65" spans="2:12" ht="22.5" customHeight="1">
      <c r="B65" s="21" t="s">
        <v>102</v>
      </c>
      <c r="C65" s="23">
        <f>104569089397.01</f>
        <v>104569089397.01</v>
      </c>
      <c r="D65" s="23">
        <f>97624803447.7801</f>
        <v>97624803447.7801</v>
      </c>
      <c r="E65" s="23">
        <f>76439346132.7</f>
        <v>76439346132.7</v>
      </c>
      <c r="F65" s="23">
        <f>2214782243.56001</f>
        <v>2214782243.56001</v>
      </c>
      <c r="G65" s="23">
        <f>1324300.16</f>
        <v>1324300.16</v>
      </c>
      <c r="H65" s="23">
        <f>1864065.88</f>
        <v>1864065.88</v>
      </c>
      <c r="I65" s="88">
        <f>0</f>
        <v>0</v>
      </c>
      <c r="J65" s="89"/>
      <c r="K65" s="35">
        <f t="shared" si="6"/>
        <v>35.511465397122564</v>
      </c>
      <c r="L65" s="35">
        <f t="shared" si="7"/>
        <v>73.09937054389772</v>
      </c>
    </row>
    <row r="66" spans="2:12" ht="22.5" customHeight="1">
      <c r="B66" s="21" t="s">
        <v>53</v>
      </c>
      <c r="C66" s="23">
        <f>27855375894.05</f>
        <v>27855375894.05</v>
      </c>
      <c r="D66" s="23">
        <f>24216082459.66</f>
        <v>24216082459.66</v>
      </c>
      <c r="E66" s="23">
        <f>20406718456.44</f>
        <v>20406718456.44</v>
      </c>
      <c r="F66" s="23">
        <f>83850966.09</f>
        <v>83850966.09</v>
      </c>
      <c r="G66" s="23">
        <f>0</f>
        <v>0</v>
      </c>
      <c r="H66" s="23">
        <f>302312.31</f>
        <v>302312.31</v>
      </c>
      <c r="I66" s="88">
        <f>0</f>
        <v>0</v>
      </c>
      <c r="J66" s="89"/>
      <c r="K66" s="35">
        <f t="shared" si="6"/>
        <v>9.480359435265807</v>
      </c>
      <c r="L66" s="35">
        <f t="shared" si="7"/>
        <v>73.25953357821655</v>
      </c>
    </row>
    <row r="67" spans="2:12" ht="22.5" customHeight="1">
      <c r="B67" s="21" t="s">
        <v>52</v>
      </c>
      <c r="C67" s="23">
        <f>1965840845.39</f>
        <v>1965840845.39</v>
      </c>
      <c r="D67" s="23">
        <f>1134143110.06</f>
        <v>1134143110.06</v>
      </c>
      <c r="E67" s="23">
        <f>788510027.35</f>
        <v>788510027.35</v>
      </c>
      <c r="F67" s="23">
        <f>30937164.88</f>
        <v>30937164.88</v>
      </c>
      <c r="G67" s="23">
        <f>0</f>
        <v>0</v>
      </c>
      <c r="H67" s="23">
        <f>0</f>
        <v>0</v>
      </c>
      <c r="I67" s="88">
        <f>0</f>
        <v>0</v>
      </c>
      <c r="J67" s="89"/>
      <c r="K67" s="35">
        <f t="shared" si="6"/>
        <v>0.36631849915242903</v>
      </c>
      <c r="L67" s="35">
        <f t="shared" si="7"/>
        <v>40.11057299979789</v>
      </c>
    </row>
    <row r="68" spans="2:12" ht="33.75" customHeight="1">
      <c r="B68" s="21" t="s">
        <v>69</v>
      </c>
      <c r="C68" s="23">
        <f>345873985.91</f>
        <v>345873985.91</v>
      </c>
      <c r="D68" s="23">
        <f>62974624.33</f>
        <v>62974624.33</v>
      </c>
      <c r="E68" s="23">
        <f>25645171.64</f>
        <v>25645171.64</v>
      </c>
      <c r="F68" s="23">
        <f>216124.71</f>
        <v>216124.71</v>
      </c>
      <c r="G68" s="23">
        <f>0</f>
        <v>0</v>
      </c>
      <c r="H68" s="23">
        <f>0</f>
        <v>0</v>
      </c>
      <c r="I68" s="88">
        <f>0</f>
        <v>0</v>
      </c>
      <c r="J68" s="89"/>
      <c r="K68" s="35">
        <f t="shared" si="6"/>
        <v>0.011913990259887132</v>
      </c>
      <c r="L68" s="35">
        <f t="shared" si="7"/>
        <v>7.414599734214512</v>
      </c>
    </row>
    <row r="69" spans="2:12" ht="30" customHeight="1">
      <c r="B69" s="21" t="s">
        <v>71</v>
      </c>
      <c r="C69" s="23">
        <f>57838039685.78</f>
        <v>57838039685.78</v>
      </c>
      <c r="D69" s="23">
        <f>52440546312.77</f>
        <v>52440546312.77</v>
      </c>
      <c r="E69" s="23">
        <f>44165784606.88</f>
        <v>44165784606.88</v>
      </c>
      <c r="F69" s="23">
        <f>603477886.43</f>
        <v>603477886.43</v>
      </c>
      <c r="G69" s="23">
        <f>55822.54</f>
        <v>55822.54</v>
      </c>
      <c r="H69" s="23">
        <f>198900.76</f>
        <v>198900.76</v>
      </c>
      <c r="I69" s="88">
        <f>0</f>
        <v>0</v>
      </c>
      <c r="J69" s="89"/>
      <c r="K69" s="35">
        <f t="shared" si="6"/>
        <v>20.518120721247836</v>
      </c>
      <c r="L69" s="35">
        <f t="shared" si="7"/>
        <v>76.36113679997104</v>
      </c>
    </row>
    <row r="70" spans="2:12" ht="22.5" customHeight="1">
      <c r="B70" s="21" t="s">
        <v>51</v>
      </c>
      <c r="C70" s="23">
        <f aca="true" t="shared" si="9" ref="C70:I70">C64-C65-C66-C67-C68-C69</f>
        <v>77571145126.43001</v>
      </c>
      <c r="D70" s="23">
        <f t="shared" si="9"/>
        <v>60869102796.50001</v>
      </c>
      <c r="E70" s="23">
        <f t="shared" si="9"/>
        <v>48400359908.779976</v>
      </c>
      <c r="F70" s="23">
        <f t="shared" si="9"/>
        <v>2232349128.2699904</v>
      </c>
      <c r="G70" s="23">
        <f t="shared" si="9"/>
        <v>1556745.8699999999</v>
      </c>
      <c r="H70" s="23">
        <f t="shared" si="9"/>
        <v>7714085.499999998</v>
      </c>
      <c r="I70" s="88">
        <f t="shared" si="9"/>
        <v>0</v>
      </c>
      <c r="J70" s="89"/>
      <c r="K70" s="35">
        <f t="shared" si="6"/>
        <v>22.485379494548642</v>
      </c>
      <c r="L70" s="35">
        <f t="shared" si="7"/>
        <v>62.39479877458845</v>
      </c>
    </row>
    <row r="71" spans="2:13" ht="24" customHeight="1">
      <c r="B71" s="20" t="s">
        <v>15</v>
      </c>
      <c r="C71" s="26">
        <f>C6-C61</f>
        <v>-31067137516.309998</v>
      </c>
      <c r="D71" s="26"/>
      <c r="E71" s="26">
        <f>D6-E61</f>
        <v>23436167306.360016</v>
      </c>
      <c r="F71" s="26"/>
      <c r="G71" s="26"/>
      <c r="H71" s="26"/>
      <c r="I71" s="90"/>
      <c r="J71" s="90"/>
      <c r="K71" s="27"/>
      <c r="L71" s="27"/>
      <c r="M71" s="14"/>
    </row>
    <row r="72" spans="2:13" ht="38.25">
      <c r="B72" s="61" t="s">
        <v>80</v>
      </c>
      <c r="C72" s="62">
        <f>+C52-C64</f>
        <v>8361419500.23999</v>
      </c>
      <c r="D72" s="62"/>
      <c r="E72" s="62">
        <f>+D52-E64</f>
        <v>30147914044.140015</v>
      </c>
      <c r="F72" s="62"/>
      <c r="G72" s="62"/>
      <c r="H72" s="62"/>
      <c r="I72" s="92"/>
      <c r="J72" s="93"/>
      <c r="K72" s="27"/>
      <c r="L72" s="27"/>
      <c r="M72" s="14"/>
    </row>
    <row r="73" spans="2:13" ht="12" customHeight="1" thickBot="1">
      <c r="B73" s="63"/>
      <c r="C73" s="64"/>
      <c r="D73" s="64"/>
      <c r="E73" s="64"/>
      <c r="F73" s="2"/>
      <c r="G73" s="2"/>
      <c r="H73" s="2"/>
      <c r="I73" s="2"/>
      <c r="L73" s="11"/>
      <c r="M73" s="11"/>
    </row>
    <row r="74" spans="2:13" ht="12" customHeight="1" thickBot="1">
      <c r="B74" s="65" t="s">
        <v>74</v>
      </c>
      <c r="C74" s="64"/>
      <c r="D74" s="64"/>
      <c r="E74" s="64"/>
      <c r="F74" s="2"/>
      <c r="G74" s="2"/>
      <c r="H74" s="2"/>
      <c r="I74" s="2"/>
      <c r="L74" s="11"/>
      <c r="M74" s="11"/>
    </row>
    <row r="75" spans="2:13" ht="35.25" customHeight="1">
      <c r="B75" s="81" t="s">
        <v>75</v>
      </c>
      <c r="C75" s="76">
        <f>32021660594.8501</f>
        <v>32021660594.8501</v>
      </c>
      <c r="D75" s="76">
        <f>22739981617.73</f>
        <v>22739981617.73</v>
      </c>
      <c r="E75" s="76">
        <f>13252114680.09</f>
        <v>13252114680.09</v>
      </c>
      <c r="F75" s="76">
        <f>801633466.180001</f>
        <v>801633466.180001</v>
      </c>
      <c r="G75" s="76">
        <f>1418004.01</f>
        <v>1418004.01</v>
      </c>
      <c r="H75" s="76">
        <f>536727.28</f>
        <v>536727.28</v>
      </c>
      <c r="I75" s="91">
        <f>0</f>
        <v>0</v>
      </c>
      <c r="J75" s="91"/>
      <c r="K75" s="60">
        <f>IF($E$75=0,"",100*$E75/$E$75)</f>
        <v>100</v>
      </c>
      <c r="L75" s="60">
        <f>IF(C75=0,"",100*E75/C75)</f>
        <v>41.384845238854595</v>
      </c>
      <c r="M75" s="11"/>
    </row>
    <row r="76" spans="2:13" ht="21.75" customHeight="1">
      <c r="B76" s="78" t="s">
        <v>78</v>
      </c>
      <c r="C76" s="79">
        <f>25713657280.87</f>
        <v>25713657280.87</v>
      </c>
      <c r="D76" s="79">
        <f>18537856327.81</f>
        <v>18537856327.81</v>
      </c>
      <c r="E76" s="79">
        <f>10085784624.25</f>
        <v>10085784624.25</v>
      </c>
      <c r="F76" s="79">
        <f>759151543.33</f>
        <v>759151543.33</v>
      </c>
      <c r="G76" s="79">
        <f>1418004.01</f>
        <v>1418004.01</v>
      </c>
      <c r="H76" s="79">
        <f>535080.28</f>
        <v>535080.28</v>
      </c>
      <c r="I76" s="87">
        <f>0</f>
        <v>0</v>
      </c>
      <c r="J76" s="87"/>
      <c r="K76" s="80">
        <f>IF($E$75=0,"",100*$E76/$E$75)</f>
        <v>76.1069826795485</v>
      </c>
      <c r="L76" s="80">
        <f>IF(C76=0,"",100*E76/C76)</f>
        <v>39.22345434600409</v>
      </c>
      <c r="M76" s="11"/>
    </row>
    <row r="77" spans="2:12" ht="24" customHeight="1">
      <c r="B77" s="78" t="s">
        <v>79</v>
      </c>
      <c r="C77" s="79">
        <f aca="true" t="shared" si="10" ref="C77:I77">C75-C76</f>
        <v>6308003313.980103</v>
      </c>
      <c r="D77" s="79">
        <f t="shared" si="10"/>
        <v>4202125289.919998</v>
      </c>
      <c r="E77" s="79">
        <f t="shared" si="10"/>
        <v>3166330055.84</v>
      </c>
      <c r="F77" s="79">
        <f t="shared" si="10"/>
        <v>42481922.85000098</v>
      </c>
      <c r="G77" s="79">
        <f t="shared" si="10"/>
        <v>0</v>
      </c>
      <c r="H77" s="79">
        <f t="shared" si="10"/>
        <v>1647</v>
      </c>
      <c r="I77" s="87">
        <f t="shared" si="10"/>
        <v>0</v>
      </c>
      <c r="J77" s="87"/>
      <c r="K77" s="80">
        <f>IF($E$75=0,"",100*$E77/$E$75)</f>
        <v>23.893017320451502</v>
      </c>
      <c r="L77" s="80">
        <f>IF(C77=0,"",100*E77/C77)</f>
        <v>50.195440589300674</v>
      </c>
    </row>
    <row r="78" spans="2:13" ht="20.25">
      <c r="B78" s="94" t="s">
        <v>105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8" ht="12.75">
      <c r="B79" s="41" t="s">
        <v>16</v>
      </c>
      <c r="C79" s="99" t="s">
        <v>17</v>
      </c>
      <c r="D79" s="100"/>
      <c r="E79" s="99" t="s">
        <v>1</v>
      </c>
      <c r="F79" s="100"/>
      <c r="G79" s="19" t="s">
        <v>26</v>
      </c>
      <c r="H79" s="19" t="s">
        <v>27</v>
      </c>
    </row>
    <row r="80" spans="2:8" ht="12.75">
      <c r="B80" s="41"/>
      <c r="C80" s="101" t="s">
        <v>81</v>
      </c>
      <c r="D80" s="102"/>
      <c r="E80" s="102"/>
      <c r="F80" s="103"/>
      <c r="G80" s="104" t="s">
        <v>4</v>
      </c>
      <c r="H80" s="105"/>
    </row>
    <row r="81" spans="2:8" ht="12.75">
      <c r="B81" s="39">
        <v>1</v>
      </c>
      <c r="C81" s="43">
        <v>2</v>
      </c>
      <c r="D81" s="44"/>
      <c r="E81" s="43">
        <v>3</v>
      </c>
      <c r="F81" s="44"/>
      <c r="G81" s="40">
        <v>4</v>
      </c>
      <c r="H81" s="40">
        <v>5</v>
      </c>
    </row>
    <row r="82" spans="2:8" ht="25.5">
      <c r="B82" s="38" t="s">
        <v>67</v>
      </c>
      <c r="C82" s="45">
        <f>41659527265.64</f>
        <v>41659527265.64</v>
      </c>
      <c r="D82" s="46"/>
      <c r="E82" s="45">
        <f>41357590436.34</f>
        <v>41357590436.34</v>
      </c>
      <c r="F82" s="46"/>
      <c r="G82" s="42">
        <f>IF($E$82=0,"",100*$E82/$E$82)</f>
        <v>100</v>
      </c>
      <c r="H82" s="34">
        <f>IF(C82=0,"",100*E82/C82)</f>
        <v>99.27522742307008</v>
      </c>
    </row>
    <row r="83" spans="2:8" ht="33.75">
      <c r="B83" s="37" t="s">
        <v>93</v>
      </c>
      <c r="C83" s="47">
        <f>17550642714.29</f>
        <v>17550642714.29</v>
      </c>
      <c r="D83" s="48"/>
      <c r="E83" s="47">
        <f>2487371238.36</f>
        <v>2487371238.36</v>
      </c>
      <c r="F83" s="48"/>
      <c r="G83" s="58">
        <f aca="true" t="shared" si="11" ref="G83:G90">IF($E$82=0,"",100*$E83/$E$82)</f>
        <v>6.014304054267151</v>
      </c>
      <c r="H83" s="59">
        <f aca="true" t="shared" si="12" ref="H83:H95">IF(C83=0,"",100*E83/C83)</f>
        <v>14.17253646406205</v>
      </c>
    </row>
    <row r="84" spans="2:8" ht="22.5">
      <c r="B84" s="30" t="s">
        <v>94</v>
      </c>
      <c r="C84" s="82">
        <f>1409889265.9</f>
        <v>1409889265.9</v>
      </c>
      <c r="D84" s="83"/>
      <c r="E84" s="82">
        <f>344388000</f>
        <v>344388000</v>
      </c>
      <c r="F84" s="83"/>
      <c r="G84" s="84">
        <f t="shared" si="11"/>
        <v>0.8327080866330983</v>
      </c>
      <c r="H84" s="80">
        <f t="shared" si="12"/>
        <v>24.426599189700234</v>
      </c>
    </row>
    <row r="85" spans="2:8" ht="12.75">
      <c r="B85" s="85" t="s">
        <v>95</v>
      </c>
      <c r="C85" s="82">
        <f>271318194.62</f>
        <v>271318194.62</v>
      </c>
      <c r="D85" s="83"/>
      <c r="E85" s="82">
        <f>70172754.27</f>
        <v>70172754.27</v>
      </c>
      <c r="F85" s="83"/>
      <c r="G85" s="84">
        <f t="shared" si="11"/>
        <v>0.1696732172489932</v>
      </c>
      <c r="H85" s="80">
        <f t="shared" si="12"/>
        <v>25.863637478600292</v>
      </c>
    </row>
    <row r="86" spans="2:8" ht="12.75">
      <c r="B86" s="85" t="s">
        <v>96</v>
      </c>
      <c r="C86" s="82">
        <f>2312559181.3</f>
        <v>2312559181.3</v>
      </c>
      <c r="D86" s="83"/>
      <c r="E86" s="82">
        <f>9155685292.92</f>
        <v>9155685292.92</v>
      </c>
      <c r="F86" s="83"/>
      <c r="G86" s="84">
        <f t="shared" si="11"/>
        <v>22.13785957142006</v>
      </c>
      <c r="H86" s="80">
        <f t="shared" si="12"/>
        <v>395.9113940501687</v>
      </c>
    </row>
    <row r="87" spans="2:8" ht="45">
      <c r="B87" s="85" t="s">
        <v>103</v>
      </c>
      <c r="C87" s="82">
        <f>7779352920.14</f>
        <v>7779352920.14</v>
      </c>
      <c r="D87" s="83"/>
      <c r="E87" s="82">
        <f>9374062364.75</f>
        <v>9374062364.75</v>
      </c>
      <c r="F87" s="83"/>
      <c r="G87" s="84">
        <f t="shared" si="11"/>
        <v>22.665881319123514</v>
      </c>
      <c r="H87" s="80">
        <f t="shared" si="12"/>
        <v>120.49925567049992</v>
      </c>
    </row>
    <row r="88" spans="2:8" ht="12.75">
      <c r="B88" s="85" t="s">
        <v>97</v>
      </c>
      <c r="C88" s="82">
        <f>500000</f>
        <v>500000</v>
      </c>
      <c r="D88" s="83"/>
      <c r="E88" s="82">
        <f>0</f>
        <v>0</v>
      </c>
      <c r="F88" s="83"/>
      <c r="G88" s="84">
        <f t="shared" si="11"/>
        <v>0</v>
      </c>
      <c r="H88" s="80">
        <f t="shared" si="12"/>
        <v>0</v>
      </c>
    </row>
    <row r="89" spans="2:8" ht="33.75">
      <c r="B89" s="85" t="s">
        <v>98</v>
      </c>
      <c r="C89" s="82">
        <f>13302552376.94</f>
        <v>13302552376.94</v>
      </c>
      <c r="D89" s="83"/>
      <c r="E89" s="82">
        <f>20180419652.18</f>
        <v>20180419652.18</v>
      </c>
      <c r="F89" s="83"/>
      <c r="G89" s="84">
        <f t="shared" si="11"/>
        <v>48.79495985928598</v>
      </c>
      <c r="H89" s="80">
        <f t="shared" si="12"/>
        <v>151.70336549219527</v>
      </c>
    </row>
    <row r="90" spans="2:8" ht="12.75">
      <c r="B90" s="85" t="s">
        <v>83</v>
      </c>
      <c r="C90" s="82">
        <f>442601878.35</f>
        <v>442601878.35</v>
      </c>
      <c r="D90" s="83"/>
      <c r="E90" s="82">
        <f>89879133.86</f>
        <v>89879133.86</v>
      </c>
      <c r="F90" s="83"/>
      <c r="G90" s="84">
        <f t="shared" si="11"/>
        <v>0.21732197865431058</v>
      </c>
      <c r="H90" s="80">
        <f t="shared" si="12"/>
        <v>20.30699331757592</v>
      </c>
    </row>
    <row r="91" spans="2:8" ht="25.5">
      <c r="B91" s="38" t="s">
        <v>68</v>
      </c>
      <c r="C91" s="55">
        <f>10545352681.26</f>
        <v>10545352681.26</v>
      </c>
      <c r="D91" s="56"/>
      <c r="E91" s="55">
        <f>6803768031.21</f>
        <v>6803768031.21</v>
      </c>
      <c r="F91" s="56"/>
      <c r="G91" s="42">
        <f>IF($E$91=0,"",100*$E91/$E$91)</f>
        <v>100</v>
      </c>
      <c r="H91" s="34">
        <f t="shared" si="12"/>
        <v>64.5191131758057</v>
      </c>
    </row>
    <row r="92" spans="2:8" ht="33.75">
      <c r="B92" s="37" t="s">
        <v>99</v>
      </c>
      <c r="C92" s="47">
        <f>9024492803.89</f>
        <v>9024492803.89</v>
      </c>
      <c r="D92" s="53"/>
      <c r="E92" s="54">
        <f>5621341815.66</f>
        <v>5621341815.66</v>
      </c>
      <c r="F92" s="53"/>
      <c r="G92" s="58">
        <f>IF($E$91=0,"",100*$E92/$E$91)</f>
        <v>82.6210092683052</v>
      </c>
      <c r="H92" s="59">
        <f t="shared" si="12"/>
        <v>62.289836535045225</v>
      </c>
    </row>
    <row r="93" spans="2:8" ht="22.5">
      <c r="B93" s="30" t="s">
        <v>100</v>
      </c>
      <c r="C93" s="82">
        <f>661266553</f>
        <v>661266553</v>
      </c>
      <c r="D93" s="83"/>
      <c r="E93" s="82">
        <f>394614000</f>
        <v>394614000</v>
      </c>
      <c r="F93" s="83"/>
      <c r="G93" s="84">
        <f>IF($E$91=0,"",100*$E93/$E$91)</f>
        <v>5.799933186872933</v>
      </c>
      <c r="H93" s="80">
        <f t="shared" si="12"/>
        <v>59.675481575430595</v>
      </c>
    </row>
    <row r="94" spans="2:8" ht="12.75">
      <c r="B94" s="85" t="s">
        <v>101</v>
      </c>
      <c r="C94" s="82">
        <f>288002120.49</f>
        <v>288002120.49</v>
      </c>
      <c r="D94" s="83"/>
      <c r="E94" s="82">
        <f>183958636.42</f>
        <v>183958636.42</v>
      </c>
      <c r="F94" s="83"/>
      <c r="G94" s="84">
        <f>IF($E$91=0,"",100*$E94/$E$91)</f>
        <v>2.7037758426823424</v>
      </c>
      <c r="H94" s="80">
        <f t="shared" si="12"/>
        <v>63.8740562420225</v>
      </c>
    </row>
    <row r="95" spans="2:8" ht="12.75">
      <c r="B95" s="36" t="s">
        <v>33</v>
      </c>
      <c r="C95" s="47">
        <f>1232857756.88</f>
        <v>1232857756.88</v>
      </c>
      <c r="D95" s="50"/>
      <c r="E95" s="47">
        <f>998467579.13</f>
        <v>998467579.13</v>
      </c>
      <c r="F95" s="50"/>
      <c r="G95" s="58">
        <f>IF($E$91=0,"",100*$E95/$E$91)</f>
        <v>14.675214889012462</v>
      </c>
      <c r="H95" s="59">
        <f t="shared" si="12"/>
        <v>80.98805994106144</v>
      </c>
    </row>
    <row r="97" spans="2:8" ht="12.75">
      <c r="B97" s="41" t="s">
        <v>16</v>
      </c>
      <c r="C97" s="99" t="s">
        <v>17</v>
      </c>
      <c r="D97" s="100"/>
      <c r="E97" s="99" t="s">
        <v>1</v>
      </c>
      <c r="F97" s="100"/>
      <c r="G97" s="19" t="s">
        <v>26</v>
      </c>
      <c r="H97" s="19" t="s">
        <v>27</v>
      </c>
    </row>
    <row r="98" spans="2:8" ht="12.75">
      <c r="B98" s="41"/>
      <c r="C98" s="101" t="s">
        <v>81</v>
      </c>
      <c r="D98" s="102"/>
      <c r="E98" s="102"/>
      <c r="F98" s="103"/>
      <c r="G98" s="104" t="s">
        <v>4</v>
      </c>
      <c r="H98" s="105"/>
    </row>
    <row r="99" spans="2:8" ht="12.75">
      <c r="B99" s="39">
        <v>1</v>
      </c>
      <c r="C99" s="43">
        <v>2</v>
      </c>
      <c r="D99" s="44"/>
      <c r="E99" s="43">
        <v>3</v>
      </c>
      <c r="F99" s="44"/>
      <c r="G99" s="40">
        <v>4</v>
      </c>
      <c r="H99" s="40">
        <v>5</v>
      </c>
    </row>
    <row r="100" spans="2:8" ht="22.5">
      <c r="B100" s="57" t="s">
        <v>84</v>
      </c>
      <c r="C100" s="52">
        <f>31179358833.99</f>
        <v>31179358833.99</v>
      </c>
      <c r="D100" s="49"/>
      <c r="E100" s="52">
        <f>0</f>
        <v>0</v>
      </c>
      <c r="F100" s="46"/>
      <c r="G100" s="42"/>
      <c r="H100" s="34"/>
    </row>
    <row r="101" spans="2:8" ht="56.25">
      <c r="B101" s="51" t="s">
        <v>85</v>
      </c>
      <c r="C101" s="54">
        <f>997121066.3</f>
        <v>997121066.3</v>
      </c>
      <c r="D101" s="53"/>
      <c r="E101" s="54">
        <f>0</f>
        <v>0</v>
      </c>
      <c r="F101" s="53"/>
      <c r="G101" s="58"/>
      <c r="H101" s="59"/>
    </row>
    <row r="102" spans="2:8" ht="12.75">
      <c r="B102" s="51" t="s">
        <v>86</v>
      </c>
      <c r="C102" s="54">
        <f>11288666588</f>
        <v>11288666588</v>
      </c>
      <c r="D102" s="53"/>
      <c r="E102" s="54">
        <f>0</f>
        <v>0</v>
      </c>
      <c r="F102" s="53"/>
      <c r="G102" s="58"/>
      <c r="H102" s="59"/>
    </row>
    <row r="103" spans="2:8" ht="33.75">
      <c r="B103" s="51" t="s">
        <v>87</v>
      </c>
      <c r="C103" s="54">
        <f>0</f>
        <v>0</v>
      </c>
      <c r="D103" s="53"/>
      <c r="E103" s="54">
        <f>0</f>
        <v>0</v>
      </c>
      <c r="F103" s="53"/>
      <c r="G103" s="58"/>
      <c r="H103" s="59"/>
    </row>
    <row r="104" spans="2:8" ht="33.75">
      <c r="B104" s="51" t="s">
        <v>88</v>
      </c>
      <c r="C104" s="54">
        <f>1664324483.53</f>
        <v>1664324483.53</v>
      </c>
      <c r="D104" s="53"/>
      <c r="E104" s="54">
        <f>0</f>
        <v>0</v>
      </c>
      <c r="F104" s="53"/>
      <c r="G104" s="58"/>
      <c r="H104" s="59"/>
    </row>
    <row r="105" spans="2:8" ht="101.25">
      <c r="B105" s="51" t="s">
        <v>89</v>
      </c>
      <c r="C105" s="54">
        <f>10195199548.32</f>
        <v>10195199548.32</v>
      </c>
      <c r="D105" s="53"/>
      <c r="E105" s="54">
        <f>0</f>
        <v>0</v>
      </c>
      <c r="F105" s="53"/>
      <c r="G105" s="58"/>
      <c r="H105" s="59"/>
    </row>
  </sheetData>
  <sheetProtection/>
  <mergeCells count="42">
    <mergeCell ref="C79:D79"/>
    <mergeCell ref="E79:F79"/>
    <mergeCell ref="C80:F80"/>
    <mergeCell ref="C56:C58"/>
    <mergeCell ref="B56:B59"/>
    <mergeCell ref="K56:K58"/>
    <mergeCell ref="K59:L59"/>
    <mergeCell ref="G80:H80"/>
    <mergeCell ref="G57:H57"/>
    <mergeCell ref="L56:L58"/>
    <mergeCell ref="C97:D97"/>
    <mergeCell ref="E97:F97"/>
    <mergeCell ref="C98:F98"/>
    <mergeCell ref="G98:H98"/>
    <mergeCell ref="B78:M78"/>
    <mergeCell ref="I56:J58"/>
    <mergeCell ref="D56:D58"/>
    <mergeCell ref="E56:E58"/>
    <mergeCell ref="F57:F58"/>
    <mergeCell ref="F56:H56"/>
    <mergeCell ref="I66:J66"/>
    <mergeCell ref="I61:J61"/>
    <mergeCell ref="I62:J62"/>
    <mergeCell ref="I63:J63"/>
    <mergeCell ref="I64:J64"/>
    <mergeCell ref="I65:J65"/>
    <mergeCell ref="B1:M1"/>
    <mergeCell ref="B3:B4"/>
    <mergeCell ref="K4:M4"/>
    <mergeCell ref="C4:J4"/>
    <mergeCell ref="B54:M54"/>
    <mergeCell ref="I60:J60"/>
    <mergeCell ref="C59:J59"/>
    <mergeCell ref="I77:J77"/>
    <mergeCell ref="I69:J69"/>
    <mergeCell ref="I67:J67"/>
    <mergeCell ref="I68:J68"/>
    <mergeCell ref="I70:J70"/>
    <mergeCell ref="I71:J71"/>
    <mergeCell ref="I75:J75"/>
    <mergeCell ref="I76:J76"/>
    <mergeCell ref="I72:J72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3" manualBreakCount="3">
    <brk id="21" max="255" man="1"/>
    <brk id="53" max="255" man="1"/>
    <brk id="7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2021-12-08T11:16:42Z</dcterms:modified>
  <cp:category/>
  <cp:version/>
  <cp:contentType/>
  <cp:contentStatus/>
</cp:coreProperties>
</file>