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 kwartał\2024.05.21 dane ostateczne\BIP MF\Zbiorówki\"/>
    </mc:Choice>
  </mc:AlternateContent>
  <xr:revisionPtr revIDLastSave="0" documentId="13_ncr:1_{BADB23A9-F683-4F7D-9DA5-4F60B1396A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7" l="1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 l="1"/>
  <c r="A67" i="7" l="1"/>
  <c r="A30" i="7"/>
  <c r="A86" i="7"/>
  <c r="A1" i="7"/>
</calcChain>
</file>

<file path=xl/sharedStrings.xml><?xml version="1.0" encoding="utf-8"?>
<sst xmlns="http://schemas.openxmlformats.org/spreadsheetml/2006/main" count="93" uniqueCount="79">
  <si>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</si>
  <si>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</si>
  <si>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</si>
  <si>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</si>
  <si>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</si>
  <si>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</si>
  <si>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</si>
  <si>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</si>
  <si>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</si>
  <si>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</si>
  <si>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</si>
  <si>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</si>
  <si>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</si>
  <si>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</si>
  <si>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</si>
  <si>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</si>
  <si>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</si>
  <si>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</si>
  <si>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</si>
  <si>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</si>
  <si>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</si>
  <si>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</si>
  <si>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</si>
  <si>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</si>
  <si>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</si>
  <si>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</si>
  <si>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</si>
  <si>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</si>
  <si>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</si>
  <si>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</si>
  <si>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</si>
  <si>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</si>
  <si>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</si>
  <si>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</si>
  <si>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</si>
  <si>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</si>
  <si>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</si>
  <si>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</si>
  <si>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</si>
  <si>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</si>
  <si>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</si>
  <si>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</si>
  <si>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</si>
  <si>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</si>
  <si>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</si>
  <si>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</si>
  <si>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</si>
  <si>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</si>
  <si>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</si>
  <si>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</si>
  <si>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</si>
  <si>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</si>
  <si>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</si>
  <si>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</si>
  <si>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</si>
  <si>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</si>
  <si>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</si>
  <si>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</si>
  <si>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</si>
  <si>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</si>
  <si>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</si>
  <si>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</si>
  <si>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</si>
  <si>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</si>
  <si>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</si>
  <si>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</si>
  <si>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</si>
  <si>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</si>
  <si>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</si>
  <si>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</si>
  <si>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</si>
  <si>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</si>
  <si>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</si>
  <si>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</si>
  <si>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</si>
  <si>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E1 papiery wartościowe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</si>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</sst>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1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2" fillId="0" borderId="10" xfId="37" applyFont="1" applyBorder="1" applyAlignment="1">
      <alignment horizontal="left" vertical="center" wrapText="1"/>
    </xf>
    <xf numFmtId="0" fontId="2" fillId="0" borderId="10" xfId="37" applyFont="1" applyBorder="1" applyAlignment="1">
      <alignment horizontal="left" vertical="top" wrapText="1"/>
    </xf>
    <xf numFmtId="0" fontId="29" fillId="0" borderId="17" xfId="0" applyFont="1" applyFill="1" applyBorder="1" applyAlignment="1">
      <alignment vertical="top" wrapText="1"/>
    </xf>
    <xf numFmtId="0" fontId="8" fillId="20" borderId="10" xfId="37" applyFont="1" applyFill="1" applyBorder="1" applyAlignment="1">
      <alignment horizontal="left" vertical="top" wrapText="1"/>
    </xf>
    <xf numFmtId="0" fontId="2" fillId="20" borderId="10" xfId="37" applyFont="1" applyFill="1" applyBorder="1" applyAlignment="1">
      <alignment horizontal="left" vertical="top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8" fillId="21" borderId="10" xfId="37" applyFont="1" applyFill="1" applyBorder="1" applyAlignment="1">
      <alignment horizontal="left" vertical="center" wrapText="1"/>
    </xf>
    <xf numFmtId="4" fontId="7" fillId="21" borderId="10" xfId="37" applyNumberFormat="1" applyFont="1" applyFill="1" applyBorder="1" applyAlignment="1">
      <alignment horizontal="right" vertical="center" wrapText="1"/>
    </xf>
    <xf numFmtId="0" fontId="28" fillId="21" borderId="17" xfId="0" applyFont="1" applyFill="1" applyBorder="1" applyAlignment="1">
      <alignment vertical="top" wrapText="1"/>
    </xf>
    <xf numFmtId="0" fontId="2" fillId="19" borderId="10" xfId="37" applyFont="1" applyFill="1" applyBorder="1" applyAlignment="1">
      <alignment horizontal="center" vertical="center" wrapText="1"/>
    </xf>
    <xf numFmtId="0" fontId="8" fillId="19" borderId="15" xfId="37" applyFont="1" applyFill="1" applyBorder="1" applyAlignment="1">
      <alignment horizontal="center" vertical="center" wrapText="1"/>
    </xf>
    <xf numFmtId="0" fontId="8" fillId="19" borderId="14" xfId="37" applyFont="1" applyFill="1" applyBorder="1" applyAlignment="1">
      <alignment horizontal="center" vertical="center" wrapText="1"/>
    </xf>
    <xf numFmtId="0" fontId="8" fillId="19" borderId="11" xfId="37" applyFont="1" applyFill="1" applyBorder="1" applyAlignment="1">
      <alignment horizontal="center" vertical="center" wrapText="1"/>
    </xf>
    <xf numFmtId="0" fontId="2" fillId="19" borderId="12" xfId="37" applyFont="1" applyFill="1" applyBorder="1" applyAlignment="1">
      <alignment horizontal="center" vertical="center" wrapText="1"/>
    </xf>
    <xf numFmtId="0" fontId="2" fillId="19" borderId="20" xfId="37" applyFont="1" applyFill="1" applyBorder="1" applyAlignment="1">
      <alignment horizontal="center" vertical="center" wrapText="1"/>
    </xf>
    <xf numFmtId="0" fontId="2" fillId="19" borderId="23" xfId="37" applyFont="1" applyFill="1" applyBorder="1" applyAlignment="1">
      <alignment horizontal="center" vertical="center" wrapText="1"/>
    </xf>
    <xf numFmtId="0" fontId="2" fillId="19" borderId="13" xfId="37" applyFont="1" applyFill="1" applyBorder="1" applyAlignment="1">
      <alignment horizontal="center" vertical="center" wrapText="1"/>
    </xf>
    <xf numFmtId="0" fontId="30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2" fillId="19" borderId="19" xfId="37" applyFont="1" applyFill="1" applyBorder="1" applyAlignment="1">
      <alignment horizontal="center" vertical="center" wrapText="1"/>
    </xf>
    <xf numFmtId="0" fontId="8" fillId="19" borderId="19" xfId="37" applyFont="1" applyFill="1" applyBorder="1" applyAlignment="1">
      <alignment horizontal="center" vertical="center" wrapText="1"/>
    </xf>
    <xf numFmtId="0" fontId="8" fillId="19" borderId="20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2" fillId="19" borderId="10" xfId="37" applyNumberFormat="1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3" fontId="7" fillId="0" borderId="15" xfId="37" applyNumberFormat="1" applyFont="1" applyFill="1" applyBorder="1" applyAlignment="1">
      <alignment horizontal="right" vertical="center" wrapText="1"/>
    </xf>
    <xf numFmtId="3" fontId="7" fillId="0" borderId="11" xfId="37" applyNumberFormat="1" applyFont="1" applyFill="1" applyBorder="1" applyAlignment="1">
      <alignment horizontal="right" vertical="center" wrapText="1"/>
    </xf>
    <xf numFmtId="4" fontId="7" fillId="0" borderId="15" xfId="37" applyNumberFormat="1" applyFont="1" applyFill="1" applyBorder="1" applyAlignment="1">
      <alignment horizontal="right" vertical="center" wrapText="1"/>
    </xf>
    <xf numFmtId="4" fontId="7" fillId="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19" borderId="21" xfId="37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6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16.42578125" style="2" customWidth="1"/>
    <col min="2" max="2" width="14.7109375" style="2" customWidth="1"/>
    <col min="3" max="3" width="15.140625" style="2" customWidth="1"/>
    <col min="4" max="4" width="12.5703125" style="2" customWidth="1"/>
    <col min="5" max="5" width="11.42578125" style="2" customWidth="1"/>
    <col min="6" max="7" width="12.5703125" style="2" customWidth="1"/>
    <col min="8" max="8" width="12" style="2" customWidth="1"/>
    <col min="9" max="9" width="11.7109375" style="2" customWidth="1"/>
    <col min="10" max="10" width="13" style="2" customWidth="1"/>
    <col min="11" max="11" width="12.140625" style="2" customWidth="1"/>
    <col min="12" max="12" width="13.28515625" style="2" customWidth="1"/>
    <col min="13" max="13" width="12.85546875" style="2" customWidth="1"/>
    <col min="14" max="14" width="12" style="2" customWidth="1"/>
    <col min="15" max="17" width="11.7109375" style="2" customWidth="1"/>
    <col min="18" max="16384" width="9.140625" style="2"/>
  </cols>
  <sheetData>
    <row r="1" spans="1:17" ht="75" customHeight="1" x14ac:dyDescent="0.2">
      <c r="A1" s="37" t="str">
        <f>CONCATENATE("Informacja z wykonania budżetów jednostek samorządu terytorialnego za ",$C$94," ",$B$95," roku")</f>
        <v>Informacja z wykonania budżetów jednostek samorządu terytorialnego za I Kwartał 2024 roku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9" t="s">
        <v>60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7" ht="13.5" customHeight="1" x14ac:dyDescent="0.2">
      <c r="B5" s="11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10"/>
      <c r="O5" s="10"/>
      <c r="P5" s="10"/>
      <c r="Q5" s="10"/>
    </row>
    <row r="6" spans="1:17" ht="13.5" customHeight="1" x14ac:dyDescent="0.2">
      <c r="A6" s="41" t="s">
        <v>0</v>
      </c>
      <c r="B6" s="40" t="s">
        <v>61</v>
      </c>
      <c r="C6" s="44" t="s">
        <v>65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44" t="s">
        <v>64</v>
      </c>
      <c r="P6" s="45"/>
      <c r="Q6" s="46"/>
    </row>
    <row r="7" spans="1:17" ht="13.5" customHeight="1" x14ac:dyDescent="0.2">
      <c r="A7" s="42"/>
      <c r="B7" s="34"/>
      <c r="C7" s="33" t="s">
        <v>62</v>
      </c>
      <c r="D7" s="33" t="s">
        <v>73</v>
      </c>
      <c r="E7" s="33" t="s">
        <v>66</v>
      </c>
      <c r="F7" s="33" t="s">
        <v>67</v>
      </c>
      <c r="G7" s="33" t="s">
        <v>27</v>
      </c>
      <c r="H7" s="33" t="s">
        <v>28</v>
      </c>
      <c r="I7" s="35" t="s">
        <v>63</v>
      </c>
      <c r="J7" s="33" t="s">
        <v>16</v>
      </c>
      <c r="K7" s="33" t="s">
        <v>17</v>
      </c>
      <c r="L7" s="33" t="s">
        <v>18</v>
      </c>
      <c r="M7" s="33" t="s">
        <v>19</v>
      </c>
      <c r="N7" s="34" t="s">
        <v>20</v>
      </c>
      <c r="O7" s="29" t="s">
        <v>21</v>
      </c>
      <c r="P7" s="29" t="s">
        <v>22</v>
      </c>
      <c r="Q7" s="29" t="s">
        <v>23</v>
      </c>
    </row>
    <row r="8" spans="1:17" ht="13.5" customHeight="1" x14ac:dyDescent="0.2">
      <c r="A8" s="42"/>
      <c r="B8" s="34"/>
      <c r="C8" s="29"/>
      <c r="D8" s="29"/>
      <c r="E8" s="29"/>
      <c r="F8" s="29"/>
      <c r="G8" s="29"/>
      <c r="H8" s="29"/>
      <c r="I8" s="35"/>
      <c r="J8" s="29"/>
      <c r="K8" s="29"/>
      <c r="L8" s="29"/>
      <c r="M8" s="29"/>
      <c r="N8" s="34"/>
      <c r="O8" s="29"/>
      <c r="P8" s="29"/>
      <c r="Q8" s="29"/>
    </row>
    <row r="9" spans="1:17" ht="13.5" customHeight="1" x14ac:dyDescent="0.2">
      <c r="A9" s="42"/>
      <c r="B9" s="34"/>
      <c r="C9" s="29"/>
      <c r="D9" s="29"/>
      <c r="E9" s="29"/>
      <c r="F9" s="29"/>
      <c r="G9" s="29"/>
      <c r="H9" s="29"/>
      <c r="I9" s="35"/>
      <c r="J9" s="29"/>
      <c r="K9" s="29"/>
      <c r="L9" s="29"/>
      <c r="M9" s="29"/>
      <c r="N9" s="34"/>
      <c r="O9" s="29"/>
      <c r="P9" s="29"/>
      <c r="Q9" s="29"/>
    </row>
    <row r="10" spans="1:17" ht="11.25" customHeight="1" x14ac:dyDescent="0.2">
      <c r="A10" s="42"/>
      <c r="B10" s="34"/>
      <c r="C10" s="29"/>
      <c r="D10" s="29"/>
      <c r="E10" s="29"/>
      <c r="F10" s="29"/>
      <c r="G10" s="29"/>
      <c r="H10" s="29"/>
      <c r="I10" s="35"/>
      <c r="J10" s="29"/>
      <c r="K10" s="29"/>
      <c r="L10" s="29"/>
      <c r="M10" s="29"/>
      <c r="N10" s="34"/>
      <c r="O10" s="29"/>
      <c r="P10" s="29"/>
      <c r="Q10" s="29"/>
    </row>
    <row r="11" spans="1:17" ht="27.75" customHeight="1" x14ac:dyDescent="0.2">
      <c r="A11" s="43"/>
      <c r="B11" s="33"/>
      <c r="C11" s="29"/>
      <c r="D11" s="29"/>
      <c r="E11" s="29"/>
      <c r="F11" s="29"/>
      <c r="G11" s="29"/>
      <c r="H11" s="29"/>
      <c r="I11" s="36"/>
      <c r="J11" s="29"/>
      <c r="K11" s="29"/>
      <c r="L11" s="29"/>
      <c r="M11" s="29"/>
      <c r="N11" s="33"/>
      <c r="O11" s="29"/>
      <c r="P11" s="29"/>
      <c r="Q11" s="29"/>
    </row>
    <row r="12" spans="1:17" ht="13.5" customHeight="1" x14ac:dyDescent="0.2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  <c r="O12" s="12">
        <v>15</v>
      </c>
      <c r="P12" s="12">
        <v>16</v>
      </c>
      <c r="Q12" s="12">
        <v>17</v>
      </c>
    </row>
    <row r="13" spans="1:17" ht="52.5" customHeight="1" x14ac:dyDescent="0.2">
      <c r="A13" s="19" t="s">
        <v>45</v>
      </c>
      <c r="B13" s="21">
        <f>100624290693.8</f>
        <v>100624290693.8</v>
      </c>
      <c r="C13" s="21">
        <f>75451073012.33</f>
        <v>75451073012.330002</v>
      </c>
      <c r="D13" s="21">
        <f>3262102571.16</f>
        <v>3262102571.1599998</v>
      </c>
      <c r="E13" s="21">
        <f>611722373.62</f>
        <v>611722373.62</v>
      </c>
      <c r="F13" s="21">
        <f>707255603.08</f>
        <v>707255603.08000004</v>
      </c>
      <c r="G13" s="21">
        <f>1942886286.79</f>
        <v>1942886286.79</v>
      </c>
      <c r="H13" s="21">
        <f>238307.67</f>
        <v>238307.67</v>
      </c>
      <c r="I13" s="21">
        <f>0</f>
        <v>0</v>
      </c>
      <c r="J13" s="21">
        <f>67582300556.96</f>
        <v>67582300556.959999</v>
      </c>
      <c r="K13" s="21">
        <f>3209715831.39</f>
        <v>3209715831.3899999</v>
      </c>
      <c r="L13" s="21">
        <f>1342581707.72</f>
        <v>1342581707.72</v>
      </c>
      <c r="M13" s="21">
        <f>34006814.1</f>
        <v>34006814.100000001</v>
      </c>
      <c r="N13" s="21">
        <f>20365531</f>
        <v>20365531</v>
      </c>
      <c r="O13" s="21">
        <f>25173217681.47</f>
        <v>25173217681.470001</v>
      </c>
      <c r="P13" s="21">
        <f>25151899867.16</f>
        <v>25151899867.16</v>
      </c>
      <c r="Q13" s="21">
        <f>21317814.31</f>
        <v>21317814.309999999</v>
      </c>
    </row>
    <row r="14" spans="1:17" ht="41.25" customHeight="1" x14ac:dyDescent="0.2">
      <c r="A14" s="19" t="s">
        <v>75</v>
      </c>
      <c r="B14" s="21">
        <f>7585186122.92</f>
        <v>7585186122.9200001</v>
      </c>
      <c r="C14" s="21">
        <f>7585186122.92</f>
        <v>7585186122.9200001</v>
      </c>
      <c r="D14" s="21">
        <f>5851071.92</f>
        <v>5851071.9199999999</v>
      </c>
      <c r="E14" s="21">
        <f>0</f>
        <v>0</v>
      </c>
      <c r="F14" s="21">
        <f>0</f>
        <v>0</v>
      </c>
      <c r="G14" s="21">
        <f>5851071.92</f>
        <v>5851071.9199999999</v>
      </c>
      <c r="H14" s="21">
        <f>0</f>
        <v>0</v>
      </c>
      <c r="I14" s="21">
        <f>0</f>
        <v>0</v>
      </c>
      <c r="J14" s="21">
        <f>7375385000</f>
        <v>7375385000</v>
      </c>
      <c r="K14" s="21">
        <f>203950000</f>
        <v>203950000</v>
      </c>
      <c r="L14" s="21">
        <f>0</f>
        <v>0</v>
      </c>
      <c r="M14" s="21">
        <f>0</f>
        <v>0</v>
      </c>
      <c r="N14" s="21">
        <f>51</f>
        <v>51</v>
      </c>
      <c r="O14" s="21">
        <f>0</f>
        <v>0</v>
      </c>
      <c r="P14" s="21">
        <f>0</f>
        <v>0</v>
      </c>
      <c r="Q14" s="21">
        <f>0</f>
        <v>0</v>
      </c>
    </row>
    <row r="15" spans="1:17" ht="22.5" x14ac:dyDescent="0.2">
      <c r="A15" s="16" t="s">
        <v>46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3.25" customHeight="1" x14ac:dyDescent="0.2">
      <c r="A16" s="16" t="s">
        <v>47</v>
      </c>
      <c r="B16" s="22">
        <f>7585186122.92</f>
        <v>7585186122.9200001</v>
      </c>
      <c r="C16" s="22">
        <f>7585186122.92</f>
        <v>7585186122.9200001</v>
      </c>
      <c r="D16" s="22">
        <f>5851071.92</f>
        <v>5851071.9199999999</v>
      </c>
      <c r="E16" s="22">
        <f>0</f>
        <v>0</v>
      </c>
      <c r="F16" s="22">
        <f>0</f>
        <v>0</v>
      </c>
      <c r="G16" s="22">
        <f>5851071.92</f>
        <v>5851071.9199999999</v>
      </c>
      <c r="H16" s="22">
        <f>0</f>
        <v>0</v>
      </c>
      <c r="I16" s="22">
        <f>0</f>
        <v>0</v>
      </c>
      <c r="J16" s="22">
        <f>7375385000</f>
        <v>7375385000</v>
      </c>
      <c r="K16" s="22">
        <f>203950000</f>
        <v>203950000</v>
      </c>
      <c r="L16" s="22">
        <f>0</f>
        <v>0</v>
      </c>
      <c r="M16" s="22">
        <f>0</f>
        <v>0</v>
      </c>
      <c r="N16" s="22">
        <f>51</f>
        <v>51</v>
      </c>
      <c r="O16" s="22">
        <f>0</f>
        <v>0</v>
      </c>
      <c r="P16" s="22">
        <f>0</f>
        <v>0</v>
      </c>
      <c r="Q16" s="22">
        <f>0</f>
        <v>0</v>
      </c>
    </row>
    <row r="17" spans="1:17" ht="33" customHeight="1" x14ac:dyDescent="0.2">
      <c r="A17" s="19" t="s">
        <v>76</v>
      </c>
      <c r="B17" s="21">
        <f>92942766459.79</f>
        <v>92942766459.789993</v>
      </c>
      <c r="C17" s="21">
        <f>67769550802.63</f>
        <v>67769550802.629997</v>
      </c>
      <c r="D17" s="21">
        <f>3229451436.79</f>
        <v>3229451436.79</v>
      </c>
      <c r="E17" s="21">
        <f>600866402.97</f>
        <v>600866402.97000003</v>
      </c>
      <c r="F17" s="21">
        <f>707177498.16</f>
        <v>707177498.15999997</v>
      </c>
      <c r="G17" s="21">
        <f>1921407535.66</f>
        <v>1921407535.6600001</v>
      </c>
      <c r="H17" s="21">
        <f>0</f>
        <v>0</v>
      </c>
      <c r="I17" s="21">
        <f>0</f>
        <v>0</v>
      </c>
      <c r="J17" s="21">
        <f>60206890556.96</f>
        <v>60206890556.959999</v>
      </c>
      <c r="K17" s="21">
        <f>3005068532.5</f>
        <v>3005068532.5</v>
      </c>
      <c r="L17" s="21">
        <f>1309382873.59</f>
        <v>1309382873.5899999</v>
      </c>
      <c r="M17" s="21">
        <f>4809371.77</f>
        <v>4809371.7699999996</v>
      </c>
      <c r="N17" s="21">
        <f>13948031.02</f>
        <v>13948031.02</v>
      </c>
      <c r="O17" s="21">
        <f>25173215657.16</f>
        <v>25173215657.16</v>
      </c>
      <c r="P17" s="21">
        <f>25151899867.16</f>
        <v>25151899867.16</v>
      </c>
      <c r="Q17" s="21">
        <f>21315790</f>
        <v>21315790</v>
      </c>
    </row>
    <row r="18" spans="1:17" ht="22.5" x14ac:dyDescent="0.2">
      <c r="A18" s="16" t="s">
        <v>48</v>
      </c>
      <c r="B18" s="22">
        <f>563454347.1</f>
        <v>563454347.10000002</v>
      </c>
      <c r="C18" s="22">
        <f>563454347.1</f>
        <v>563454347.10000002</v>
      </c>
      <c r="D18" s="22">
        <f>28716829.52</f>
        <v>28716829.52</v>
      </c>
      <c r="E18" s="22">
        <f>22370420.79</f>
        <v>22370420.789999999</v>
      </c>
      <c r="F18" s="22">
        <f>519801</f>
        <v>519801</v>
      </c>
      <c r="G18" s="22">
        <f>5826607.73</f>
        <v>5826607.7300000004</v>
      </c>
      <c r="H18" s="22">
        <f>0</f>
        <v>0</v>
      </c>
      <c r="I18" s="22">
        <f>0</f>
        <v>0</v>
      </c>
      <c r="J18" s="22">
        <f>504340631.83</f>
        <v>504340631.82999998</v>
      </c>
      <c r="K18" s="22">
        <f>29422573.44</f>
        <v>29422573.440000001</v>
      </c>
      <c r="L18" s="22">
        <f>878212.31</f>
        <v>878212.31</v>
      </c>
      <c r="M18" s="22">
        <f>96100</f>
        <v>96100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4" customHeight="1" x14ac:dyDescent="0.2">
      <c r="A19" s="16" t="s">
        <v>49</v>
      </c>
      <c r="B19" s="22">
        <f>92379312112.69</f>
        <v>92379312112.690002</v>
      </c>
      <c r="C19" s="22">
        <f>67206096455.53</f>
        <v>67206096455.529999</v>
      </c>
      <c r="D19" s="22">
        <f>3200734607.27</f>
        <v>3200734607.27</v>
      </c>
      <c r="E19" s="22">
        <f>578495982.18</f>
        <v>578495982.17999995</v>
      </c>
      <c r="F19" s="22">
        <f>706657697.16</f>
        <v>706657697.15999997</v>
      </c>
      <c r="G19" s="22">
        <f>1915580927.93</f>
        <v>1915580927.9300001</v>
      </c>
      <c r="H19" s="22">
        <f>0</f>
        <v>0</v>
      </c>
      <c r="I19" s="22">
        <f>0</f>
        <v>0</v>
      </c>
      <c r="J19" s="22">
        <f>59702549925.13</f>
        <v>59702549925.129997</v>
      </c>
      <c r="K19" s="22">
        <f>2975645959.06</f>
        <v>2975645959.0599999</v>
      </c>
      <c r="L19" s="22">
        <f>1308504661.28</f>
        <v>1308504661.28</v>
      </c>
      <c r="M19" s="22">
        <f>4713271.77</f>
        <v>4713271.7699999996</v>
      </c>
      <c r="N19" s="22">
        <f>13948031.02</f>
        <v>13948031.02</v>
      </c>
      <c r="O19" s="22">
        <f>25173215657.16</f>
        <v>25173215657.16</v>
      </c>
      <c r="P19" s="22">
        <f>25151899867.16</f>
        <v>25151899867.16</v>
      </c>
      <c r="Q19" s="22">
        <f>21315790</f>
        <v>21315790</v>
      </c>
    </row>
    <row r="20" spans="1:17" ht="24.75" customHeight="1" x14ac:dyDescent="0.2">
      <c r="A20" s="26" t="s">
        <v>50</v>
      </c>
      <c r="B20" s="27">
        <f>0</f>
        <v>0</v>
      </c>
      <c r="C20" s="27">
        <f>0</f>
        <v>0</v>
      </c>
      <c r="D20" s="27">
        <f>0</f>
        <v>0</v>
      </c>
      <c r="E20" s="27">
        <f>0</f>
        <v>0</v>
      </c>
      <c r="F20" s="27">
        <f>0</f>
        <v>0</v>
      </c>
      <c r="G20" s="27">
        <f>0</f>
        <v>0</v>
      </c>
      <c r="H20" s="27">
        <f>0</f>
        <v>0</v>
      </c>
      <c r="I20" s="27">
        <f>0</f>
        <v>0</v>
      </c>
      <c r="J20" s="27">
        <f>0</f>
        <v>0</v>
      </c>
      <c r="K20" s="27">
        <f>0</f>
        <v>0</v>
      </c>
      <c r="L20" s="27">
        <f>0</f>
        <v>0</v>
      </c>
      <c r="M20" s="27">
        <f>0</f>
        <v>0</v>
      </c>
      <c r="N20" s="27">
        <f>0</f>
        <v>0</v>
      </c>
      <c r="O20" s="27">
        <f>0</f>
        <v>0</v>
      </c>
      <c r="P20" s="27">
        <f>0</f>
        <v>0</v>
      </c>
      <c r="Q20" s="27">
        <f>0</f>
        <v>0</v>
      </c>
    </row>
    <row r="21" spans="1:17" ht="38.25" customHeight="1" x14ac:dyDescent="0.2">
      <c r="A21" s="20" t="s">
        <v>77</v>
      </c>
      <c r="B21" s="21">
        <f>96338111.09</f>
        <v>96338111.090000004</v>
      </c>
      <c r="C21" s="21">
        <f>96336086.78</f>
        <v>96336086.780000001</v>
      </c>
      <c r="D21" s="21">
        <f>26800062.45</f>
        <v>26800062.449999999</v>
      </c>
      <c r="E21" s="21">
        <f>10855970.65</f>
        <v>10855970.65</v>
      </c>
      <c r="F21" s="21">
        <f>78104.92</f>
        <v>78104.92</v>
      </c>
      <c r="G21" s="21">
        <f>15627679.21</f>
        <v>15627679.210000001</v>
      </c>
      <c r="H21" s="21">
        <f>238307.67</f>
        <v>238307.67</v>
      </c>
      <c r="I21" s="21">
        <f>0</f>
        <v>0</v>
      </c>
      <c r="J21" s="21">
        <f>25000</f>
        <v>25000</v>
      </c>
      <c r="K21" s="21">
        <f>697298.89</f>
        <v>697298.89</v>
      </c>
      <c r="L21" s="21">
        <f>33198834.13</f>
        <v>33198834.129999999</v>
      </c>
      <c r="M21" s="21">
        <f>29197442.33</f>
        <v>29197442.329999998</v>
      </c>
      <c r="N21" s="21">
        <f>6417448.98</f>
        <v>6417448.9800000004</v>
      </c>
      <c r="O21" s="21">
        <f>2024.31</f>
        <v>2024.31</v>
      </c>
      <c r="P21" s="21">
        <f>0</f>
        <v>0</v>
      </c>
      <c r="Q21" s="21">
        <f>2024.31</f>
        <v>2024.31</v>
      </c>
    </row>
    <row r="22" spans="1:17" ht="33" customHeight="1" x14ac:dyDescent="0.2">
      <c r="A22" s="17" t="s">
        <v>51</v>
      </c>
      <c r="B22" s="22">
        <f>60907670.35</f>
        <v>60907670.350000001</v>
      </c>
      <c r="C22" s="22">
        <f>60907670.35</f>
        <v>60907670.350000001</v>
      </c>
      <c r="D22" s="22">
        <f>3919856.09</f>
        <v>3919856.09</v>
      </c>
      <c r="E22" s="22">
        <f>179648.02</f>
        <v>179648.02</v>
      </c>
      <c r="F22" s="22">
        <f>20972.92</f>
        <v>20972.92</v>
      </c>
      <c r="G22" s="22">
        <f>3719235.15</f>
        <v>3719235.15</v>
      </c>
      <c r="H22" s="22">
        <f>0</f>
        <v>0</v>
      </c>
      <c r="I22" s="22">
        <f>0</f>
        <v>0</v>
      </c>
      <c r="J22" s="22">
        <f>0</f>
        <v>0</v>
      </c>
      <c r="K22" s="22">
        <f>589381.67</f>
        <v>589381.67000000004</v>
      </c>
      <c r="L22" s="22">
        <f>27845627.77</f>
        <v>27845627.77</v>
      </c>
      <c r="M22" s="22">
        <f>23009491.26</f>
        <v>23009491.260000002</v>
      </c>
      <c r="N22" s="22">
        <f>5543313.56</f>
        <v>5543313.5599999996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35430440.74</f>
        <v>35430440.740000002</v>
      </c>
      <c r="C23" s="22">
        <f>35428416.43</f>
        <v>35428416.43</v>
      </c>
      <c r="D23" s="22">
        <f>22880206.36</f>
        <v>22880206.359999999</v>
      </c>
      <c r="E23" s="22">
        <f>10676322.63</f>
        <v>10676322.630000001</v>
      </c>
      <c r="F23" s="22">
        <f>57132</f>
        <v>57132</v>
      </c>
      <c r="G23" s="22">
        <f>11908444.06</f>
        <v>11908444.060000001</v>
      </c>
      <c r="H23" s="22">
        <f>238307.67</f>
        <v>238307.67</v>
      </c>
      <c r="I23" s="22">
        <f>0</f>
        <v>0</v>
      </c>
      <c r="J23" s="22">
        <f>25000</f>
        <v>25000</v>
      </c>
      <c r="K23" s="22">
        <f>107917.22</f>
        <v>107917.22</v>
      </c>
      <c r="L23" s="22">
        <f>5353206.36</f>
        <v>5353206.3600000003</v>
      </c>
      <c r="M23" s="22">
        <f>6187951.07</f>
        <v>6187951.0700000003</v>
      </c>
      <c r="N23" s="22">
        <f>874135.42</f>
        <v>874135.42</v>
      </c>
      <c r="O23" s="22">
        <f>2024.31</f>
        <v>2024.31</v>
      </c>
      <c r="P23" s="22">
        <f>0</f>
        <v>0</v>
      </c>
      <c r="Q23" s="22">
        <f>2024.31</f>
        <v>2024.31</v>
      </c>
    </row>
    <row r="24" spans="1:17" ht="19.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9.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9.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9.5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9.5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9.5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.75" customHeight="1" x14ac:dyDescent="0.2">
      <c r="A30" s="37" t="str">
        <f>CONCATENATE("Informacja z wykonania budżetów jednostek samorządu terytorialnego za ",$C$94," ",$B$95," roku")</f>
        <v>Informacja z wykonania budżetów jednostek samorządu terytorialnego za I Kwartał 2024 roku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7" ht="13.5" customHeight="1" x14ac:dyDescent="0.2">
      <c r="A32" s="39" t="s">
        <v>11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4" spans="1:17" ht="13.5" customHeight="1" x14ac:dyDescent="0.2">
      <c r="A34" s="41" t="s">
        <v>0</v>
      </c>
      <c r="B34" s="40" t="s">
        <v>12</v>
      </c>
      <c r="C34" s="30" t="s">
        <v>14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  <c r="O34" s="30" t="s">
        <v>24</v>
      </c>
      <c r="P34" s="31"/>
      <c r="Q34" s="32"/>
    </row>
    <row r="35" spans="1:17" ht="13.5" customHeight="1" x14ac:dyDescent="0.2">
      <c r="A35" s="42"/>
      <c r="B35" s="34"/>
      <c r="C35" s="34" t="s">
        <v>13</v>
      </c>
      <c r="D35" s="29" t="s">
        <v>15</v>
      </c>
      <c r="E35" s="29" t="s">
        <v>25</v>
      </c>
      <c r="F35" s="29" t="s">
        <v>26</v>
      </c>
      <c r="G35" s="29" t="s">
        <v>70</v>
      </c>
      <c r="H35" s="29" t="s">
        <v>28</v>
      </c>
      <c r="I35" s="29" t="s">
        <v>1</v>
      </c>
      <c r="J35" s="29" t="s">
        <v>16</v>
      </c>
      <c r="K35" s="29" t="s">
        <v>17</v>
      </c>
      <c r="L35" s="29" t="s">
        <v>18</v>
      </c>
      <c r="M35" s="29" t="s">
        <v>19</v>
      </c>
      <c r="N35" s="47" t="s">
        <v>20</v>
      </c>
      <c r="O35" s="29" t="s">
        <v>21</v>
      </c>
      <c r="P35" s="29" t="s">
        <v>22</v>
      </c>
      <c r="Q35" s="40" t="s">
        <v>23</v>
      </c>
    </row>
    <row r="36" spans="1:17" ht="13.5" customHeight="1" x14ac:dyDescent="0.2">
      <c r="A36" s="42"/>
      <c r="B36" s="34"/>
      <c r="C36" s="34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47"/>
      <c r="O36" s="29"/>
      <c r="P36" s="29"/>
      <c r="Q36" s="34"/>
    </row>
    <row r="37" spans="1:17" ht="11.25" customHeight="1" x14ac:dyDescent="0.2">
      <c r="A37" s="42"/>
      <c r="B37" s="34"/>
      <c r="C37" s="3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47"/>
      <c r="O37" s="29"/>
      <c r="P37" s="29"/>
      <c r="Q37" s="34"/>
    </row>
    <row r="38" spans="1:17" ht="32.25" customHeight="1" x14ac:dyDescent="0.2">
      <c r="A38" s="43"/>
      <c r="B38" s="33"/>
      <c r="C38" s="33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47"/>
      <c r="O38" s="29"/>
      <c r="P38" s="29"/>
      <c r="Q38" s="33"/>
    </row>
    <row r="39" spans="1:17" ht="13.5" customHeight="1" x14ac:dyDescent="0.2">
      <c r="A39" s="12">
        <v>1</v>
      </c>
      <c r="B39" s="12">
        <v>2</v>
      </c>
      <c r="C39" s="12">
        <v>3</v>
      </c>
      <c r="D39" s="12">
        <v>4</v>
      </c>
      <c r="E39" s="12">
        <v>5</v>
      </c>
      <c r="F39" s="12">
        <v>6</v>
      </c>
      <c r="G39" s="12">
        <v>7</v>
      </c>
      <c r="H39" s="12">
        <v>8</v>
      </c>
      <c r="I39" s="12">
        <v>9</v>
      </c>
      <c r="J39" s="12">
        <v>10</v>
      </c>
      <c r="K39" s="12">
        <v>11</v>
      </c>
      <c r="L39" s="12">
        <v>12</v>
      </c>
      <c r="M39" s="12">
        <v>13</v>
      </c>
      <c r="N39" s="12">
        <v>14</v>
      </c>
      <c r="O39" s="12">
        <v>15</v>
      </c>
      <c r="P39" s="12">
        <v>16</v>
      </c>
      <c r="Q39" s="12">
        <v>17</v>
      </c>
    </row>
    <row r="40" spans="1:17" ht="35.25" customHeight="1" x14ac:dyDescent="0.2">
      <c r="A40" s="28" t="s">
        <v>40</v>
      </c>
      <c r="B40" s="23">
        <f>66165527.15</f>
        <v>66165527.149999999</v>
      </c>
      <c r="C40" s="23">
        <f>66165527.15</f>
        <v>66165527.149999999</v>
      </c>
      <c r="D40" s="23">
        <f>60007.2</f>
        <v>60007.199999999997</v>
      </c>
      <c r="E40" s="23">
        <f>60007.2</f>
        <v>60007.199999999997</v>
      </c>
      <c r="F40" s="23">
        <f>0</f>
        <v>0</v>
      </c>
      <c r="G40" s="23">
        <f>0</f>
        <v>0</v>
      </c>
      <c r="H40" s="23">
        <f>0</f>
        <v>0</v>
      </c>
      <c r="I40" s="23">
        <f>0</f>
        <v>0</v>
      </c>
      <c r="J40" s="23">
        <f>206160.2</f>
        <v>206160.2</v>
      </c>
      <c r="K40" s="23">
        <f>29050</f>
        <v>29050</v>
      </c>
      <c r="L40" s="23">
        <f>63659314.89</f>
        <v>63659314.890000001</v>
      </c>
      <c r="M40" s="23">
        <f>1915953.63</f>
        <v>1915953.63</v>
      </c>
      <c r="N40" s="23">
        <f>295041.23</f>
        <v>295041.23</v>
      </c>
      <c r="O40" s="23">
        <f>0</f>
        <v>0</v>
      </c>
      <c r="P40" s="23">
        <f>0</f>
        <v>0</v>
      </c>
      <c r="Q40" s="23">
        <f>0</f>
        <v>0</v>
      </c>
    </row>
    <row r="41" spans="1:17" ht="28.5" customHeight="1" x14ac:dyDescent="0.2">
      <c r="A41" s="18" t="s">
        <v>29</v>
      </c>
      <c r="B41" s="24">
        <f>1931362.67</f>
        <v>1931362.67</v>
      </c>
      <c r="C41" s="24">
        <f>1931362.67</f>
        <v>1931362.67</v>
      </c>
      <c r="D41" s="24">
        <f>0</f>
        <v>0</v>
      </c>
      <c r="E41" s="24">
        <f>0</f>
        <v>0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6000</f>
        <v>6000</v>
      </c>
      <c r="K41" s="24">
        <f>0</f>
        <v>0</v>
      </c>
      <c r="L41" s="24">
        <f>1595842.29</f>
        <v>1595842.29</v>
      </c>
      <c r="M41" s="24">
        <f>44479.15</f>
        <v>44479.15</v>
      </c>
      <c r="N41" s="24">
        <f>285041.23</f>
        <v>285041.23</v>
      </c>
      <c r="O41" s="24">
        <f>0</f>
        <v>0</v>
      </c>
      <c r="P41" s="24">
        <f>0</f>
        <v>0</v>
      </c>
      <c r="Q41" s="24">
        <f>0</f>
        <v>0</v>
      </c>
    </row>
    <row r="42" spans="1:17" ht="28.5" customHeight="1" x14ac:dyDescent="0.2">
      <c r="A42" s="18" t="s">
        <v>30</v>
      </c>
      <c r="B42" s="24">
        <f>64234164.48</f>
        <v>64234164.479999997</v>
      </c>
      <c r="C42" s="24">
        <f>64234164.48</f>
        <v>64234164.479999997</v>
      </c>
      <c r="D42" s="24">
        <f>60007.2</f>
        <v>60007.199999999997</v>
      </c>
      <c r="E42" s="24">
        <f>60007.2</f>
        <v>60007.199999999997</v>
      </c>
      <c r="F42" s="24">
        <f>0</f>
        <v>0</v>
      </c>
      <c r="G42" s="24">
        <f>0</f>
        <v>0</v>
      </c>
      <c r="H42" s="24">
        <f>0</f>
        <v>0</v>
      </c>
      <c r="I42" s="24">
        <f>0</f>
        <v>0</v>
      </c>
      <c r="J42" s="24">
        <f>200160.2</f>
        <v>200160.2</v>
      </c>
      <c r="K42" s="24">
        <f>29050</f>
        <v>29050</v>
      </c>
      <c r="L42" s="24">
        <f>62063472.6</f>
        <v>62063472.600000001</v>
      </c>
      <c r="M42" s="24">
        <f>1871474.48</f>
        <v>1871474.48</v>
      </c>
      <c r="N42" s="24">
        <f>10000</f>
        <v>10000</v>
      </c>
      <c r="O42" s="24">
        <f>0</f>
        <v>0</v>
      </c>
      <c r="P42" s="24">
        <f>0</f>
        <v>0</v>
      </c>
      <c r="Q42" s="24">
        <f>0</f>
        <v>0</v>
      </c>
    </row>
    <row r="43" spans="1:17" ht="28.5" customHeight="1" x14ac:dyDescent="0.2">
      <c r="A43" s="28" t="s">
        <v>41</v>
      </c>
      <c r="B43" s="23">
        <f>1501852450.8</f>
        <v>1501852450.8</v>
      </c>
      <c r="C43" s="23">
        <f>1501847258.36</f>
        <v>1501847258.3599999</v>
      </c>
      <c r="D43" s="23">
        <f>765842238.38</f>
        <v>765842238.38</v>
      </c>
      <c r="E43" s="23">
        <f>173649.82</f>
        <v>173649.82</v>
      </c>
      <c r="F43" s="23">
        <f>5158867.54</f>
        <v>5158867.54</v>
      </c>
      <c r="G43" s="23">
        <f>756206985.02</f>
        <v>756206985.01999998</v>
      </c>
      <c r="H43" s="23">
        <f>4302736</f>
        <v>4302736</v>
      </c>
      <c r="I43" s="23">
        <f>0</f>
        <v>0</v>
      </c>
      <c r="J43" s="23">
        <f>193212.69</f>
        <v>193212.69</v>
      </c>
      <c r="K43" s="23">
        <f>36143.58</f>
        <v>36143.58</v>
      </c>
      <c r="L43" s="23">
        <f>374294823.41</f>
        <v>374294823.41000003</v>
      </c>
      <c r="M43" s="23">
        <f>299264882.34</f>
        <v>299264882.33999997</v>
      </c>
      <c r="N43" s="23">
        <f>62215957.96</f>
        <v>62215957.960000001</v>
      </c>
      <c r="O43" s="23">
        <f>5192.44</f>
        <v>5192.4399999999996</v>
      </c>
      <c r="P43" s="23">
        <f>5192.44</f>
        <v>5192.4399999999996</v>
      </c>
      <c r="Q43" s="23">
        <f>0</f>
        <v>0</v>
      </c>
    </row>
    <row r="44" spans="1:17" ht="32.25" customHeight="1" x14ac:dyDescent="0.2">
      <c r="A44" s="18" t="s">
        <v>31</v>
      </c>
      <c r="B44" s="24">
        <f>205107606.97</f>
        <v>205107606.97</v>
      </c>
      <c r="C44" s="24">
        <f>205107606.97</f>
        <v>205107606.97</v>
      </c>
      <c r="D44" s="24">
        <f>100522520.09</f>
        <v>100522520.09</v>
      </c>
      <c r="E44" s="24">
        <f>29088.46</f>
        <v>29088.46</v>
      </c>
      <c r="F44" s="24">
        <f>3290000</f>
        <v>3290000</v>
      </c>
      <c r="G44" s="24">
        <f>92903431.63</f>
        <v>92903431.629999995</v>
      </c>
      <c r="H44" s="24">
        <f>4300000</f>
        <v>4300000</v>
      </c>
      <c r="I44" s="24">
        <f>0</f>
        <v>0</v>
      </c>
      <c r="J44" s="24">
        <f>0</f>
        <v>0</v>
      </c>
      <c r="K44" s="24">
        <f>4560</f>
        <v>4560</v>
      </c>
      <c r="L44" s="24">
        <f>56841314.97</f>
        <v>56841314.969999999</v>
      </c>
      <c r="M44" s="24">
        <f>26594575.65</f>
        <v>26594575.649999999</v>
      </c>
      <c r="N44" s="24">
        <f>21144636.26</f>
        <v>21144636.260000002</v>
      </c>
      <c r="O44" s="24">
        <f>0</f>
        <v>0</v>
      </c>
      <c r="P44" s="24">
        <f>0</f>
        <v>0</v>
      </c>
      <c r="Q44" s="24">
        <f>0</f>
        <v>0</v>
      </c>
    </row>
    <row r="45" spans="1:17" ht="32.25" customHeight="1" x14ac:dyDescent="0.2">
      <c r="A45" s="18" t="s">
        <v>32</v>
      </c>
      <c r="B45" s="24">
        <f>1296744843.83</f>
        <v>1296744843.8299999</v>
      </c>
      <c r="C45" s="24">
        <f>1296739651.39</f>
        <v>1296739651.3900001</v>
      </c>
      <c r="D45" s="24">
        <f>665319718.29</f>
        <v>665319718.28999996</v>
      </c>
      <c r="E45" s="24">
        <f>144561.36</f>
        <v>144561.35999999999</v>
      </c>
      <c r="F45" s="24">
        <f>1868867.54</f>
        <v>1868867.54</v>
      </c>
      <c r="G45" s="24">
        <f>663303553.39</f>
        <v>663303553.38999999</v>
      </c>
      <c r="H45" s="24">
        <f>2736</f>
        <v>2736</v>
      </c>
      <c r="I45" s="24">
        <f>0</f>
        <v>0</v>
      </c>
      <c r="J45" s="24">
        <f>193212.69</f>
        <v>193212.69</v>
      </c>
      <c r="K45" s="24">
        <f>31583.58</f>
        <v>31583.58</v>
      </c>
      <c r="L45" s="24">
        <f>317453508.44</f>
        <v>317453508.44</v>
      </c>
      <c r="M45" s="24">
        <f>272670306.69</f>
        <v>272670306.69</v>
      </c>
      <c r="N45" s="24">
        <f>41071321.7</f>
        <v>41071321.700000003</v>
      </c>
      <c r="O45" s="24">
        <f>5192.44</f>
        <v>5192.4399999999996</v>
      </c>
      <c r="P45" s="24">
        <f>5192.44</f>
        <v>5192.4399999999996</v>
      </c>
      <c r="Q45" s="24">
        <f>0</f>
        <v>0</v>
      </c>
    </row>
    <row r="46" spans="1:17" ht="35.25" customHeight="1" x14ac:dyDescent="0.2">
      <c r="A46" s="28" t="s">
        <v>42</v>
      </c>
      <c r="B46" s="23">
        <f>59630792273</f>
        <v>59630792273</v>
      </c>
      <c r="C46" s="23">
        <f>59630524936.55</f>
        <v>59630524936.550003</v>
      </c>
      <c r="D46" s="23">
        <f>31338937</f>
        <v>31338937</v>
      </c>
      <c r="E46" s="23">
        <f>4483516.09</f>
        <v>4483516.09</v>
      </c>
      <c r="F46" s="23">
        <f>61311.78</f>
        <v>61311.78</v>
      </c>
      <c r="G46" s="23">
        <f>26794109.13</f>
        <v>26794109.129999999</v>
      </c>
      <c r="H46" s="23">
        <f>0</f>
        <v>0</v>
      </c>
      <c r="I46" s="23">
        <f>14015472.68</f>
        <v>14015472.68</v>
      </c>
      <c r="J46" s="23">
        <f>59567956589.13</f>
        <v>59567956589.129997</v>
      </c>
      <c r="K46" s="23">
        <f>238119.75</f>
        <v>238119.75</v>
      </c>
      <c r="L46" s="23">
        <f>16697411.98</f>
        <v>16697411.98</v>
      </c>
      <c r="M46" s="23">
        <f>183473.98</f>
        <v>183473.98</v>
      </c>
      <c r="N46" s="23">
        <f>94932.03</f>
        <v>94932.03</v>
      </c>
      <c r="O46" s="23">
        <f>267336.45</f>
        <v>267336.45</v>
      </c>
      <c r="P46" s="23">
        <f>267336.45</f>
        <v>267336.45</v>
      </c>
      <c r="Q46" s="23">
        <f>0</f>
        <v>0</v>
      </c>
    </row>
    <row r="47" spans="1:17" ht="28.5" customHeight="1" x14ac:dyDescent="0.2">
      <c r="A47" s="18" t="s">
        <v>33</v>
      </c>
      <c r="B47" s="24">
        <f>19939200.51</f>
        <v>19939200.510000002</v>
      </c>
      <c r="C47" s="24">
        <f>19939200.51</f>
        <v>19939200.510000002</v>
      </c>
      <c r="D47" s="24">
        <f>19939200.51</f>
        <v>19939200.510000002</v>
      </c>
      <c r="E47" s="24">
        <f>0</f>
        <v>0</v>
      </c>
      <c r="F47" s="24">
        <f>0</f>
        <v>0</v>
      </c>
      <c r="G47" s="24">
        <f>19939200.51</f>
        <v>19939200.510000002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8.5" customHeight="1" x14ac:dyDescent="0.2">
      <c r="A48" s="18" t="s">
        <v>34</v>
      </c>
      <c r="B48" s="24">
        <f>42325370569.32</f>
        <v>42325370569.32</v>
      </c>
      <c r="C48" s="24">
        <f>42325370569.32</f>
        <v>42325370569.32</v>
      </c>
      <c r="D48" s="24">
        <f>6672240.9</f>
        <v>6672240.9000000004</v>
      </c>
      <c r="E48" s="24">
        <f>26608.3</f>
        <v>26608.3</v>
      </c>
      <c r="F48" s="24">
        <f>6743</f>
        <v>6743</v>
      </c>
      <c r="G48" s="24">
        <f>6638889.6</f>
        <v>6638889.5999999996</v>
      </c>
      <c r="H48" s="24">
        <f>0</f>
        <v>0</v>
      </c>
      <c r="I48" s="24">
        <f>13931688.15</f>
        <v>13931688.15</v>
      </c>
      <c r="J48" s="24">
        <f>42289359369.97</f>
        <v>42289359369.970001</v>
      </c>
      <c r="K48" s="24">
        <f>228526.43</f>
        <v>228526.43</v>
      </c>
      <c r="L48" s="24">
        <f>15075397.12</f>
        <v>15075397.119999999</v>
      </c>
      <c r="M48" s="24">
        <f>9063.63</f>
        <v>9063.6299999999992</v>
      </c>
      <c r="N48" s="24">
        <f>94283.12</f>
        <v>94283.12</v>
      </c>
      <c r="O48" s="24">
        <f>0</f>
        <v>0</v>
      </c>
      <c r="P48" s="24">
        <f>0</f>
        <v>0</v>
      </c>
      <c r="Q48" s="24">
        <f>0</f>
        <v>0</v>
      </c>
    </row>
    <row r="49" spans="1:17" ht="28.5" customHeight="1" x14ac:dyDescent="0.2">
      <c r="A49" s="18" t="s">
        <v>35</v>
      </c>
      <c r="B49" s="24">
        <f>17285482503.17</f>
        <v>17285482503.169998</v>
      </c>
      <c r="C49" s="24">
        <f>17285215166.72</f>
        <v>17285215166.720001</v>
      </c>
      <c r="D49" s="24">
        <f>4727495.59</f>
        <v>4727495.59</v>
      </c>
      <c r="E49" s="24">
        <f>4456907.79</f>
        <v>4456907.79</v>
      </c>
      <c r="F49" s="24">
        <f>54568.78</f>
        <v>54568.78</v>
      </c>
      <c r="G49" s="24">
        <f>216019.02</f>
        <v>216019.02</v>
      </c>
      <c r="H49" s="24">
        <f>0</f>
        <v>0</v>
      </c>
      <c r="I49" s="24">
        <f>83784.53</f>
        <v>83784.53</v>
      </c>
      <c r="J49" s="24">
        <f>17278597219.16</f>
        <v>17278597219.16</v>
      </c>
      <c r="K49" s="24">
        <f>9593.32</f>
        <v>9593.32</v>
      </c>
      <c r="L49" s="24">
        <f>1622014.86</f>
        <v>1622014.86</v>
      </c>
      <c r="M49" s="24">
        <f>174410.35</f>
        <v>174410.35</v>
      </c>
      <c r="N49" s="24">
        <f>648.91</f>
        <v>648.91</v>
      </c>
      <c r="O49" s="24">
        <f>267336.45</f>
        <v>267336.45</v>
      </c>
      <c r="P49" s="24">
        <f>267336.45</f>
        <v>267336.45</v>
      </c>
      <c r="Q49" s="24">
        <f>0</f>
        <v>0</v>
      </c>
    </row>
    <row r="50" spans="1:17" ht="35.25" customHeight="1" x14ac:dyDescent="0.2">
      <c r="A50" s="28" t="s">
        <v>43</v>
      </c>
      <c r="B50" s="23">
        <f>28833427176.25</f>
        <v>28833427176.25</v>
      </c>
      <c r="C50" s="23">
        <f>28758973666.05</f>
        <v>28758973666.049999</v>
      </c>
      <c r="D50" s="23">
        <f>461598474.66</f>
        <v>461598474.66000003</v>
      </c>
      <c r="E50" s="23">
        <f>121909416.81</f>
        <v>121909416.81</v>
      </c>
      <c r="F50" s="23">
        <f>11951482.83</f>
        <v>11951482.83</v>
      </c>
      <c r="G50" s="23">
        <f>327159607.59</f>
        <v>327159607.58999997</v>
      </c>
      <c r="H50" s="23">
        <f>577967.43</f>
        <v>577967.43000000005</v>
      </c>
      <c r="I50" s="23">
        <f>27000</f>
        <v>27000</v>
      </c>
      <c r="J50" s="23">
        <f>16158183.15</f>
        <v>16158183.15</v>
      </c>
      <c r="K50" s="23">
        <f>30880090.24</f>
        <v>30880090.239999998</v>
      </c>
      <c r="L50" s="23">
        <f>7058740112.23</f>
        <v>7058740112.2299995</v>
      </c>
      <c r="M50" s="23">
        <f>20954239806.3</f>
        <v>20954239806.299999</v>
      </c>
      <c r="N50" s="23">
        <f>237329999.47</f>
        <v>237329999.47</v>
      </c>
      <c r="O50" s="23">
        <f>74453510.2</f>
        <v>74453510.200000003</v>
      </c>
      <c r="P50" s="23">
        <f>31691171.74</f>
        <v>31691171.739999998</v>
      </c>
      <c r="Q50" s="23">
        <f>42762338.46</f>
        <v>42762338.460000001</v>
      </c>
    </row>
    <row r="51" spans="1:17" ht="28.5" customHeight="1" x14ac:dyDescent="0.2">
      <c r="A51" s="18" t="s">
        <v>36</v>
      </c>
      <c r="B51" s="24">
        <f>6898233730.17</f>
        <v>6898233730.1700001</v>
      </c>
      <c r="C51" s="24">
        <f>6877103317.36</f>
        <v>6877103317.3599997</v>
      </c>
      <c r="D51" s="24">
        <f>80699936.94</f>
        <v>80699936.939999998</v>
      </c>
      <c r="E51" s="24">
        <f>2693115.72</f>
        <v>2693115.72</v>
      </c>
      <c r="F51" s="24">
        <f>4076635.44</f>
        <v>4076635.44</v>
      </c>
      <c r="G51" s="24">
        <f>73713413.02</f>
        <v>73713413.019999996</v>
      </c>
      <c r="H51" s="24">
        <f>216772.76</f>
        <v>216772.76</v>
      </c>
      <c r="I51" s="24">
        <f>0</f>
        <v>0</v>
      </c>
      <c r="J51" s="24">
        <f>727947.03</f>
        <v>727947.03</v>
      </c>
      <c r="K51" s="24">
        <f>1547190.84</f>
        <v>1547190.84</v>
      </c>
      <c r="L51" s="24">
        <f>1108092714.27</f>
        <v>1108092714.27</v>
      </c>
      <c r="M51" s="24">
        <f>5602904688.87</f>
        <v>5602904688.8699999</v>
      </c>
      <c r="N51" s="24">
        <f>83130839.41</f>
        <v>83130839.409999996</v>
      </c>
      <c r="O51" s="24">
        <f>21130412.81</f>
        <v>21130412.809999999</v>
      </c>
      <c r="P51" s="24">
        <f>807011.48</f>
        <v>807011.48</v>
      </c>
      <c r="Q51" s="24">
        <f>20323401.33</f>
        <v>20323401.329999998</v>
      </c>
    </row>
    <row r="52" spans="1:17" ht="28.5" customHeight="1" x14ac:dyDescent="0.2">
      <c r="A52" s="18" t="s">
        <v>37</v>
      </c>
      <c r="B52" s="24">
        <f>21935193446.08</f>
        <v>21935193446.080002</v>
      </c>
      <c r="C52" s="24">
        <f>21881870348.69</f>
        <v>21881870348.689999</v>
      </c>
      <c r="D52" s="24">
        <f>380898537.72</f>
        <v>380898537.72000003</v>
      </c>
      <c r="E52" s="24">
        <f>119216301.09</f>
        <v>119216301.09</v>
      </c>
      <c r="F52" s="24">
        <f>7874847.39</f>
        <v>7874847.3899999997</v>
      </c>
      <c r="G52" s="24">
        <f>253446194.57</f>
        <v>253446194.56999999</v>
      </c>
      <c r="H52" s="24">
        <f>361194.67</f>
        <v>361194.67</v>
      </c>
      <c r="I52" s="24">
        <f>27000</f>
        <v>27000</v>
      </c>
      <c r="J52" s="24">
        <f>15430236.12</f>
        <v>15430236.119999999</v>
      </c>
      <c r="K52" s="24">
        <f>29332899.4</f>
        <v>29332899.399999999</v>
      </c>
      <c r="L52" s="24">
        <f>5950647397.96</f>
        <v>5950647397.96</v>
      </c>
      <c r="M52" s="24">
        <f>15351335117.43</f>
        <v>15351335117.43</v>
      </c>
      <c r="N52" s="24">
        <f>154199160.06</f>
        <v>154199160.06</v>
      </c>
      <c r="O52" s="24">
        <f>53323097.39</f>
        <v>53323097.390000001</v>
      </c>
      <c r="P52" s="24">
        <f>30884160.26</f>
        <v>30884160.260000002</v>
      </c>
      <c r="Q52" s="24">
        <f>22438937.13</f>
        <v>22438937.129999999</v>
      </c>
    </row>
    <row r="53" spans="1:17" ht="35.25" customHeight="1" x14ac:dyDescent="0.2">
      <c r="A53" s="28" t="s">
        <v>44</v>
      </c>
      <c r="B53" s="23">
        <f>40082055496.05</f>
        <v>40082055496.050003</v>
      </c>
      <c r="C53" s="23">
        <f>40025655305.95</f>
        <v>40025655305.949997</v>
      </c>
      <c r="D53" s="23">
        <f>2216041031.43</f>
        <v>2216041031.4299998</v>
      </c>
      <c r="E53" s="23">
        <f>837825860.18</f>
        <v>837825860.17999995</v>
      </c>
      <c r="F53" s="23">
        <f>202905217.32</f>
        <v>202905217.31999999</v>
      </c>
      <c r="G53" s="23">
        <f>1143097989.8</f>
        <v>1143097989.8</v>
      </c>
      <c r="H53" s="23">
        <f>32211964.13</f>
        <v>32211964.129999999</v>
      </c>
      <c r="I53" s="23">
        <f>4412445.55</f>
        <v>4412445.55</v>
      </c>
      <c r="J53" s="23">
        <f>40058124.38</f>
        <v>40058124.380000003</v>
      </c>
      <c r="K53" s="23">
        <f>119081830.73</f>
        <v>119081830.73</v>
      </c>
      <c r="L53" s="23">
        <f>23930282071.75</f>
        <v>23930282071.75</v>
      </c>
      <c r="M53" s="23">
        <f>13148691231.38</f>
        <v>13148691231.379999</v>
      </c>
      <c r="N53" s="23">
        <f>567088570.73</f>
        <v>567088570.73000002</v>
      </c>
      <c r="O53" s="23">
        <f>56400190.1</f>
        <v>56400190.100000001</v>
      </c>
      <c r="P53" s="23">
        <f>34785306.31</f>
        <v>34785306.310000002</v>
      </c>
      <c r="Q53" s="23">
        <f>21614883.79</f>
        <v>21614883.789999999</v>
      </c>
    </row>
    <row r="54" spans="1:17" ht="28.5" customHeight="1" x14ac:dyDescent="0.2">
      <c r="A54" s="18" t="s">
        <v>38</v>
      </c>
      <c r="B54" s="24">
        <f>2295983446.87</f>
        <v>2295983446.8699999</v>
      </c>
      <c r="C54" s="24">
        <f>2293934799.68</f>
        <v>2293934799.6799998</v>
      </c>
      <c r="D54" s="24">
        <f>164988634.88</f>
        <v>164988634.88</v>
      </c>
      <c r="E54" s="24">
        <f>11578279.76</f>
        <v>11578279.76</v>
      </c>
      <c r="F54" s="24">
        <f>3455712.37</f>
        <v>3455712.37</v>
      </c>
      <c r="G54" s="24">
        <f>141364551.35</f>
        <v>141364551.34999999</v>
      </c>
      <c r="H54" s="24">
        <f>8590091.4</f>
        <v>8590091.4000000004</v>
      </c>
      <c r="I54" s="24">
        <f>0</f>
        <v>0</v>
      </c>
      <c r="J54" s="24">
        <f>1273229.01</f>
        <v>1273229.01</v>
      </c>
      <c r="K54" s="24">
        <f>3097442.08</f>
        <v>3097442.08</v>
      </c>
      <c r="L54" s="24">
        <f>995606808.54</f>
        <v>995606808.53999996</v>
      </c>
      <c r="M54" s="24">
        <f>1098927687.12</f>
        <v>1098927687.1199999</v>
      </c>
      <c r="N54" s="24">
        <f>30040998.05</f>
        <v>30040998.050000001</v>
      </c>
      <c r="O54" s="24">
        <f>2048647.19</f>
        <v>2048647.19</v>
      </c>
      <c r="P54" s="24">
        <f>1833145.17</f>
        <v>1833145.17</v>
      </c>
      <c r="Q54" s="24">
        <f>215502.02</f>
        <v>215502.02</v>
      </c>
    </row>
    <row r="55" spans="1:17" ht="47.25" customHeight="1" x14ac:dyDescent="0.2">
      <c r="A55" s="18" t="s">
        <v>78</v>
      </c>
      <c r="B55" s="24">
        <f>24562952603.05</f>
        <v>24562952603.049999</v>
      </c>
      <c r="C55" s="24">
        <f>24531253386.89</f>
        <v>24531253386.889999</v>
      </c>
      <c r="D55" s="24">
        <f>816718446.93</f>
        <v>816718446.92999995</v>
      </c>
      <c r="E55" s="24">
        <f>300882435.36</f>
        <v>300882435.36000001</v>
      </c>
      <c r="F55" s="24">
        <f>136016783.9</f>
        <v>136016783.90000001</v>
      </c>
      <c r="G55" s="24">
        <f>368588639.11</f>
        <v>368588639.11000001</v>
      </c>
      <c r="H55" s="24">
        <f>11230588.56</f>
        <v>11230588.560000001</v>
      </c>
      <c r="I55" s="24">
        <f>4289460.41</f>
        <v>4289460.41</v>
      </c>
      <c r="J55" s="24">
        <f>35608941.99</f>
        <v>35608941.990000002</v>
      </c>
      <c r="K55" s="24">
        <f>99277574.44</f>
        <v>99277574.439999998</v>
      </c>
      <c r="L55" s="24">
        <f>16995249247.77</f>
        <v>16995249247.77</v>
      </c>
      <c r="M55" s="24">
        <f>6462462001</f>
        <v>6462462001</v>
      </c>
      <c r="N55" s="24">
        <f>117647714.35</f>
        <v>117647714.34999999</v>
      </c>
      <c r="O55" s="24">
        <f>31699216.16</f>
        <v>31699216.16</v>
      </c>
      <c r="P55" s="24">
        <f>28514452.11</f>
        <v>28514452.109999999</v>
      </c>
      <c r="Q55" s="24">
        <f>3184764.05</f>
        <v>3184764.05</v>
      </c>
    </row>
    <row r="56" spans="1:17" ht="35.25" customHeight="1" x14ac:dyDescent="0.2">
      <c r="A56" s="18" t="s">
        <v>39</v>
      </c>
      <c r="B56" s="24">
        <f>13223119446.13</f>
        <v>13223119446.129999</v>
      </c>
      <c r="C56" s="24">
        <f>13200467119.38</f>
        <v>13200467119.379999</v>
      </c>
      <c r="D56" s="24">
        <f>1234333949.62</f>
        <v>1234333949.6199999</v>
      </c>
      <c r="E56" s="24">
        <f>525365145.06</f>
        <v>525365145.06</v>
      </c>
      <c r="F56" s="24">
        <f>63432721.05</f>
        <v>63432721.049999997</v>
      </c>
      <c r="G56" s="24">
        <f>633144799.34</f>
        <v>633144799.34000003</v>
      </c>
      <c r="H56" s="24">
        <f>12391284.17</f>
        <v>12391284.17</v>
      </c>
      <c r="I56" s="24">
        <f>122985.14</f>
        <v>122985.14</v>
      </c>
      <c r="J56" s="24">
        <f>3175953.38</f>
        <v>3175953.38</v>
      </c>
      <c r="K56" s="24">
        <f>16706814.21</f>
        <v>16706814.210000001</v>
      </c>
      <c r="L56" s="24">
        <f>5939426015.44</f>
        <v>5939426015.4399996</v>
      </c>
      <c r="M56" s="24">
        <f>5587301543.26</f>
        <v>5587301543.2600002</v>
      </c>
      <c r="N56" s="24">
        <f>419399858.33</f>
        <v>419399858.32999998</v>
      </c>
      <c r="O56" s="24">
        <f>22652326.75</f>
        <v>22652326.75</v>
      </c>
      <c r="P56" s="24">
        <f>4437709.03</f>
        <v>4437709.03</v>
      </c>
      <c r="Q56" s="24">
        <f>18214617.72</f>
        <v>18214617.719999999</v>
      </c>
    </row>
    <row r="67" spans="1:13" ht="75" customHeight="1" x14ac:dyDescent="0.2">
      <c r="A67" s="37" t="str">
        <f>CONCATENATE("Informacja z wykonania budżetów jednostek samorządu terytorialnego za ",$C$94," ",$B$95," roku")</f>
        <v>Informacja z wykonania budżetów jednostek samorządu terytorialnego za I Kwartał 2024 roku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8" spans="1:13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3.5" customHeight="1" x14ac:dyDescent="0.2">
      <c r="B69" s="39" t="s">
        <v>2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1" spans="1:13" ht="13.5" customHeight="1" x14ac:dyDescent="0.2">
      <c r="B71" s="65" t="s">
        <v>0</v>
      </c>
      <c r="C71" s="66"/>
      <c r="D71" s="66"/>
      <c r="E71" s="67"/>
      <c r="F71" s="74" t="s">
        <v>68</v>
      </c>
      <c r="G71" s="44" t="s">
        <v>74</v>
      </c>
      <c r="H71" s="45"/>
      <c r="I71" s="45"/>
      <c r="J71" s="45"/>
      <c r="K71" s="45"/>
      <c r="L71" s="46"/>
    </row>
    <row r="72" spans="1:13" ht="13.5" customHeight="1" x14ac:dyDescent="0.2">
      <c r="B72" s="68"/>
      <c r="C72" s="69"/>
      <c r="D72" s="69"/>
      <c r="E72" s="70"/>
      <c r="F72" s="35"/>
      <c r="G72" s="29" t="s">
        <v>69</v>
      </c>
      <c r="H72" s="29" t="s">
        <v>66</v>
      </c>
      <c r="I72" s="29" t="s">
        <v>67</v>
      </c>
      <c r="J72" s="29" t="s">
        <v>70</v>
      </c>
      <c r="K72" s="29" t="s">
        <v>71</v>
      </c>
      <c r="L72" s="47" t="s">
        <v>72</v>
      </c>
    </row>
    <row r="73" spans="1:13" ht="13.5" customHeight="1" x14ac:dyDescent="0.2">
      <c r="B73" s="68"/>
      <c r="C73" s="69"/>
      <c r="D73" s="69"/>
      <c r="E73" s="70"/>
      <c r="F73" s="35"/>
      <c r="G73" s="29"/>
      <c r="H73" s="29"/>
      <c r="I73" s="29"/>
      <c r="J73" s="29"/>
      <c r="K73" s="29"/>
      <c r="L73" s="47"/>
    </row>
    <row r="74" spans="1:13" ht="11.25" customHeight="1" x14ac:dyDescent="0.2">
      <c r="B74" s="68"/>
      <c r="C74" s="69"/>
      <c r="D74" s="69"/>
      <c r="E74" s="70"/>
      <c r="F74" s="35"/>
      <c r="G74" s="29"/>
      <c r="H74" s="29"/>
      <c r="I74" s="29"/>
      <c r="J74" s="29"/>
      <c r="K74" s="29"/>
      <c r="L74" s="47"/>
    </row>
    <row r="75" spans="1:13" ht="20.25" customHeight="1" x14ac:dyDescent="0.2">
      <c r="B75" s="71"/>
      <c r="C75" s="72"/>
      <c r="D75" s="72"/>
      <c r="E75" s="73"/>
      <c r="F75" s="36"/>
      <c r="G75" s="29"/>
      <c r="H75" s="29"/>
      <c r="I75" s="29"/>
      <c r="J75" s="29"/>
      <c r="K75" s="29"/>
      <c r="L75" s="47"/>
    </row>
    <row r="76" spans="1:13" ht="13.5" customHeight="1" x14ac:dyDescent="0.2">
      <c r="B76" s="29">
        <v>1</v>
      </c>
      <c r="C76" s="29"/>
      <c r="D76" s="29"/>
      <c r="E76" s="29"/>
      <c r="F76" s="15">
        <v>2</v>
      </c>
      <c r="G76" s="15">
        <v>3</v>
      </c>
      <c r="H76" s="15">
        <v>4</v>
      </c>
      <c r="I76" s="15">
        <v>5</v>
      </c>
      <c r="J76" s="15">
        <v>6</v>
      </c>
      <c r="K76" s="15">
        <v>7</v>
      </c>
      <c r="L76" s="15">
        <v>8</v>
      </c>
    </row>
    <row r="77" spans="1:13" ht="33.75" customHeight="1" x14ac:dyDescent="0.2">
      <c r="B77" s="55" t="s">
        <v>53</v>
      </c>
      <c r="C77" s="56"/>
      <c r="D77" s="56"/>
      <c r="E77" s="57"/>
      <c r="F77" s="22">
        <f>8305929234.51</f>
        <v>8305929234.5100002</v>
      </c>
      <c r="G77" s="22">
        <f>4986340380.23</f>
        <v>4986340380.2299995</v>
      </c>
      <c r="H77" s="22">
        <f>70416797.66</f>
        <v>70416797.659999996</v>
      </c>
      <c r="I77" s="22">
        <f>234449974.66</f>
        <v>234449974.66</v>
      </c>
      <c r="J77" s="22">
        <f>4639797148.38</f>
        <v>4639797148.3800001</v>
      </c>
      <c r="K77" s="22">
        <f>41676459.53</f>
        <v>41676459.530000001</v>
      </c>
      <c r="L77" s="22">
        <f>3319588854.28</f>
        <v>3319588854.2800002</v>
      </c>
    </row>
    <row r="78" spans="1:13" ht="33.75" customHeight="1" x14ac:dyDescent="0.2">
      <c r="B78" s="58" t="s">
        <v>54</v>
      </c>
      <c r="C78" s="59"/>
      <c r="D78" s="59"/>
      <c r="E78" s="60"/>
      <c r="F78" s="25">
        <f>2041409</f>
        <v>2041409</v>
      </c>
      <c r="G78" s="25">
        <f>1401409</f>
        <v>1401409</v>
      </c>
      <c r="H78" s="25">
        <f>0</f>
        <v>0</v>
      </c>
      <c r="I78" s="25">
        <f>0</f>
        <v>0</v>
      </c>
      <c r="J78" s="25">
        <f>1401409</f>
        <v>1401409</v>
      </c>
      <c r="K78" s="25">
        <f>0</f>
        <v>0</v>
      </c>
      <c r="L78" s="25">
        <f>640000</f>
        <v>640000</v>
      </c>
    </row>
    <row r="79" spans="1:13" ht="33.75" customHeight="1" x14ac:dyDescent="0.2">
      <c r="B79" s="58" t="s">
        <v>55</v>
      </c>
      <c r="C79" s="59"/>
      <c r="D79" s="59"/>
      <c r="E79" s="60"/>
      <c r="F79" s="25">
        <f>206249873.04</f>
        <v>206249873.03999999</v>
      </c>
      <c r="G79" s="25">
        <f>14191192.7</f>
        <v>14191192.699999999</v>
      </c>
      <c r="H79" s="25">
        <f>167848.45</f>
        <v>167848.45</v>
      </c>
      <c r="I79" s="25">
        <f>358224.21</f>
        <v>358224.21</v>
      </c>
      <c r="J79" s="25">
        <f>13555534</f>
        <v>13555534</v>
      </c>
      <c r="K79" s="25">
        <f>109586.04</f>
        <v>109586.04</v>
      </c>
      <c r="L79" s="25">
        <f>192058680.34</f>
        <v>192058680.34</v>
      </c>
    </row>
    <row r="80" spans="1:13" ht="22.5" customHeight="1" x14ac:dyDescent="0.2">
      <c r="B80" s="58" t="s">
        <v>56</v>
      </c>
      <c r="C80" s="59"/>
      <c r="D80" s="59"/>
      <c r="E80" s="60"/>
      <c r="F80" s="25">
        <f>93513479.22</f>
        <v>93513479.219999999</v>
      </c>
      <c r="G80" s="25">
        <f>47971647.98</f>
        <v>47971647.979999997</v>
      </c>
      <c r="H80" s="25">
        <f>0</f>
        <v>0</v>
      </c>
      <c r="I80" s="25">
        <f>0</f>
        <v>0</v>
      </c>
      <c r="J80" s="25">
        <f>47971647.98</f>
        <v>47971647.979999997</v>
      </c>
      <c r="K80" s="25">
        <f>0</f>
        <v>0</v>
      </c>
      <c r="L80" s="25">
        <f>45541831.24</f>
        <v>45541831.240000002</v>
      </c>
    </row>
    <row r="81" spans="1:13" ht="33.75" customHeight="1" x14ac:dyDescent="0.2">
      <c r="B81" s="58" t="s">
        <v>57</v>
      </c>
      <c r="C81" s="59"/>
      <c r="D81" s="59"/>
      <c r="E81" s="60"/>
      <c r="F81" s="25">
        <f>20075463.65</f>
        <v>20075463.649999999</v>
      </c>
      <c r="G81" s="25">
        <f>19394662.79</f>
        <v>19394662.789999999</v>
      </c>
      <c r="H81" s="25">
        <f>0</f>
        <v>0</v>
      </c>
      <c r="I81" s="25">
        <f>0</f>
        <v>0</v>
      </c>
      <c r="J81" s="25">
        <f>19394662.79</f>
        <v>19394662.789999999</v>
      </c>
      <c r="K81" s="25">
        <f>0</f>
        <v>0</v>
      </c>
      <c r="L81" s="25">
        <f>680800.86</f>
        <v>680800.86</v>
      </c>
    </row>
    <row r="82" spans="1:13" ht="33.75" customHeight="1" x14ac:dyDescent="0.2">
      <c r="B82" s="58" t="s">
        <v>58</v>
      </c>
      <c r="C82" s="59"/>
      <c r="D82" s="59"/>
      <c r="E82" s="60"/>
      <c r="F82" s="25">
        <f>8606787.68</f>
        <v>8606787.6799999997</v>
      </c>
      <c r="G82" s="25">
        <f>5318423.4</f>
        <v>5318423.4000000004</v>
      </c>
      <c r="H82" s="25">
        <f>0</f>
        <v>0</v>
      </c>
      <c r="I82" s="25">
        <f>0</f>
        <v>0</v>
      </c>
      <c r="J82" s="25">
        <f>5318423.4</f>
        <v>5318423.4000000004</v>
      </c>
      <c r="K82" s="25">
        <f>0</f>
        <v>0</v>
      </c>
      <c r="L82" s="25">
        <f>3288364.28</f>
        <v>3288364.28</v>
      </c>
    </row>
    <row r="83" spans="1:13" ht="33" customHeight="1" x14ac:dyDescent="0.2">
      <c r="B83" s="55" t="s">
        <v>59</v>
      </c>
      <c r="C83" s="56"/>
      <c r="D83" s="56"/>
      <c r="E83" s="57"/>
      <c r="F83" s="22">
        <f>30000</f>
        <v>30000</v>
      </c>
      <c r="G83" s="22">
        <f>0</f>
        <v>0</v>
      </c>
      <c r="H83" s="22">
        <f>0</f>
        <v>0</v>
      </c>
      <c r="I83" s="22">
        <f>0</f>
        <v>0</v>
      </c>
      <c r="J83" s="22">
        <f>0</f>
        <v>0</v>
      </c>
      <c r="K83" s="22">
        <f>0</f>
        <v>0</v>
      </c>
      <c r="L83" s="22">
        <f>30000</f>
        <v>30000</v>
      </c>
    </row>
    <row r="86" spans="1:13" ht="75" customHeight="1" x14ac:dyDescent="0.2">
      <c r="A86" s="37" t="str">
        <f>CONCATENATE("Informacja z wykonania budżetów jednostek samorządu terytorialnego za ",$C$94," ",$B$95," roku")</f>
        <v>Informacja z wykonania budżetów jednostek samorządu terytorialnego za I Kwartał 2024 roku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</row>
    <row r="87" spans="1:13" ht="13.5" customHeight="1" x14ac:dyDescent="0.2">
      <c r="B87" s="3"/>
    </row>
    <row r="88" spans="1:13" ht="13.5" customHeight="1" x14ac:dyDescent="0.2">
      <c r="B88" s="4"/>
      <c r="C88" s="52"/>
      <c r="D88" s="53"/>
      <c r="E88" s="53"/>
      <c r="F88" s="54"/>
      <c r="G88" s="52" t="s">
        <v>3</v>
      </c>
      <c r="H88" s="54"/>
      <c r="I88" s="52" t="s">
        <v>4</v>
      </c>
      <c r="J88" s="54"/>
      <c r="K88" s="4"/>
    </row>
    <row r="89" spans="1:13" ht="13.5" customHeight="1" x14ac:dyDescent="0.2">
      <c r="B89" s="5"/>
      <c r="C89" s="55" t="s">
        <v>5</v>
      </c>
      <c r="D89" s="56"/>
      <c r="E89" s="56"/>
      <c r="F89" s="57"/>
      <c r="G89" s="48">
        <f>2614</f>
        <v>2614</v>
      </c>
      <c r="H89" s="49"/>
      <c r="I89" s="50">
        <f>24007633045.5</f>
        <v>24007633045.5</v>
      </c>
      <c r="J89" s="51"/>
      <c r="K89" s="6"/>
    </row>
    <row r="90" spans="1:13" ht="13.5" customHeight="1" x14ac:dyDescent="0.2">
      <c r="B90" s="5"/>
      <c r="C90" s="58" t="s">
        <v>6</v>
      </c>
      <c r="D90" s="59"/>
      <c r="E90" s="59"/>
      <c r="F90" s="60"/>
      <c r="G90" s="61">
        <f>193</f>
        <v>193</v>
      </c>
      <c r="H90" s="62"/>
      <c r="I90" s="63">
        <f>-378515151.77</f>
        <v>-378515151.76999998</v>
      </c>
      <c r="J90" s="64"/>
      <c r="K90" s="6"/>
    </row>
    <row r="91" spans="1:13" ht="13.5" customHeight="1" x14ac:dyDescent="0.2">
      <c r="B91" s="5"/>
      <c r="C91" s="55" t="s">
        <v>7</v>
      </c>
      <c r="D91" s="56"/>
      <c r="E91" s="56"/>
      <c r="F91" s="57"/>
      <c r="G91" s="48">
        <f>0</f>
        <v>0</v>
      </c>
      <c r="H91" s="49"/>
      <c r="I91" s="50">
        <f>0</f>
        <v>0</v>
      </c>
      <c r="J91" s="51"/>
      <c r="K91" s="6"/>
    </row>
    <row r="94" spans="1:13" ht="13.5" customHeight="1" x14ac:dyDescent="0.2">
      <c r="A94" s="7" t="s">
        <v>8</v>
      </c>
      <c r="B94" s="7">
        <f>1</f>
        <v>1</v>
      </c>
      <c r="C94" s="7" t="str">
        <f>IF(B94=1,"I Kwartał",IF(B94=2,"II Kwartały",IF(B94=3,"III Kwartały",IF(B94=4,"IV Kwartały","-"))))</f>
        <v>I Kwartał</v>
      </c>
    </row>
    <row r="95" spans="1:13" ht="13.5" customHeight="1" x14ac:dyDescent="0.2">
      <c r="A95" s="7" t="s">
        <v>9</v>
      </c>
      <c r="B95" s="7">
        <f>2024</f>
        <v>2024</v>
      </c>
      <c r="C95" s="8"/>
    </row>
    <row r="96" spans="1:13" ht="13.5" customHeight="1" x14ac:dyDescent="0.2">
      <c r="A96" s="7" t="s">
        <v>10</v>
      </c>
      <c r="B96" s="9" t="str">
        <f>"May 21 2024 12:00AM"</f>
        <v>May 21 2024 12:00AM</v>
      </c>
      <c r="C96" s="8"/>
    </row>
  </sheetData>
  <mergeCells count="75">
    <mergeCell ref="O6:Q6"/>
    <mergeCell ref="O7:O11"/>
    <mergeCell ref="A67:M67"/>
    <mergeCell ref="L35:L38"/>
    <mergeCell ref="P35:P38"/>
    <mergeCell ref="Q35:Q38"/>
    <mergeCell ref="N35:N38"/>
    <mergeCell ref="O35:O38"/>
    <mergeCell ref="D35:D38"/>
    <mergeCell ref="H7:H11"/>
    <mergeCell ref="M35:M38"/>
    <mergeCell ref="O34:Q34"/>
    <mergeCell ref="A32:M32"/>
    <mergeCell ref="B34:B38"/>
    <mergeCell ref="A34:A38"/>
    <mergeCell ref="C35:C38"/>
    <mergeCell ref="B71:E75"/>
    <mergeCell ref="B83:E83"/>
    <mergeCell ref="A86:M86"/>
    <mergeCell ref="B79:E79"/>
    <mergeCell ref="B80:E80"/>
    <mergeCell ref="B81:E81"/>
    <mergeCell ref="B78:E78"/>
    <mergeCell ref="B77:E77"/>
    <mergeCell ref="F71:F75"/>
    <mergeCell ref="G72:G75"/>
    <mergeCell ref="G71:L71"/>
    <mergeCell ref="A30:M30"/>
    <mergeCell ref="G91:H91"/>
    <mergeCell ref="I91:J91"/>
    <mergeCell ref="C88:F88"/>
    <mergeCell ref="C89:F89"/>
    <mergeCell ref="C90:F90"/>
    <mergeCell ref="C91:F91"/>
    <mergeCell ref="G89:H89"/>
    <mergeCell ref="G88:H88"/>
    <mergeCell ref="G90:H90"/>
    <mergeCell ref="I90:J90"/>
    <mergeCell ref="B82:E82"/>
    <mergeCell ref="I89:J89"/>
    <mergeCell ref="B69:M69"/>
    <mergeCell ref="I88:J88"/>
    <mergeCell ref="B76:E76"/>
    <mergeCell ref="E35:E38"/>
    <mergeCell ref="H72:H75"/>
    <mergeCell ref="I72:I75"/>
    <mergeCell ref="J72:J75"/>
    <mergeCell ref="A1:M1"/>
    <mergeCell ref="C5:M5"/>
    <mergeCell ref="A3:M3"/>
    <mergeCell ref="K7:K11"/>
    <mergeCell ref="C7:C11"/>
    <mergeCell ref="B6:B11"/>
    <mergeCell ref="A6:A11"/>
    <mergeCell ref="C6:N6"/>
    <mergeCell ref="D7:D11"/>
    <mergeCell ref="E7:E11"/>
    <mergeCell ref="L72:L75"/>
    <mergeCell ref="F35:F38"/>
    <mergeCell ref="K72:K75"/>
    <mergeCell ref="G35:G38"/>
    <mergeCell ref="Q7:Q11"/>
    <mergeCell ref="C34:N34"/>
    <mergeCell ref="L7:L11"/>
    <mergeCell ref="M7:M11"/>
    <mergeCell ref="N7:N11"/>
    <mergeCell ref="P7:P11"/>
    <mergeCell ref="G7:G11"/>
    <mergeCell ref="F7:F11"/>
    <mergeCell ref="I7:I11"/>
    <mergeCell ref="J7:J11"/>
    <mergeCell ref="H35:H38"/>
    <mergeCell ref="K35:K38"/>
    <mergeCell ref="I35:I38"/>
    <mergeCell ref="J35:J38"/>
  </mergeCells>
  <phoneticPr fontId="4" type="noConversion"/>
  <pageMargins left="0" right="0" top="0.19685039370078741" bottom="0.19685039370078741" header="0" footer="0"/>
  <pageSetup paperSize="9" scale="67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2016-08-26T11:29:32Z</cp:lastPrinted>
  <dcterms:created xsi:type="dcterms:W3CDTF">2001-05-17T08:58:03Z</dcterms:created>
  <dcterms:modified xsi:type="dcterms:W3CDTF">2024-05-27T12:17:45Z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2024-05-23T09:42:47.0022889+02:00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GRN-9b6cf3a5-d1a2-4f87-9424-aba318f967bf</vt:lpwstr>
  </property>
  <property fmtid="{D5CDD505-2E9C-101B-9397-08002B2CF9AE}" pid="7" name="MFHash">
    <vt:lpwstr>BKBBhJKfbW1hg4iA9pfcd5BLzCVgtnO/5e2N9q4UAco=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