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d07\Ksiegowosc\REJESTR umów i zamówień do BIP w 2021\12. BIP stan na 31.12.2021\"/>
    </mc:Choice>
  </mc:AlternateContent>
  <bookViews>
    <workbookView xWindow="0" yWindow="0" windowWidth="28800" windowHeight="12345"/>
  </bookViews>
  <sheets>
    <sheet name="zamówienia" sheetId="2" r:id="rId1"/>
  </sheets>
  <definedNames>
    <definedName name="_xlnm._FilterDatabase" localSheetId="0" hidden="1">zamówienia!$B$3:$F$124</definedName>
    <definedName name="_xlnm.Print_Area" localSheetId="0">zamówienia!$A$1:$F$126</definedName>
  </definedNames>
  <calcPr calcId="162913"/>
</workbook>
</file>

<file path=xl/calcChain.xml><?xml version="1.0" encoding="utf-8"?>
<calcChain xmlns="http://schemas.openxmlformats.org/spreadsheetml/2006/main">
  <c r="F22" i="2" l="1"/>
  <c r="F17" i="2"/>
  <c r="F20" i="2" l="1"/>
  <c r="F119" i="2"/>
  <c r="F21" i="2"/>
  <c r="F73" i="2"/>
  <c r="F11" i="2" l="1"/>
  <c r="F9" i="2" l="1"/>
  <c r="F16" i="2"/>
  <c r="F105" i="2"/>
  <c r="F102" i="2"/>
  <c r="F98" i="2"/>
  <c r="F104" i="2"/>
  <c r="F93" i="2"/>
  <c r="F92" i="2"/>
  <c r="F97" i="2"/>
  <c r="F96" i="2"/>
  <c r="F122" i="2"/>
  <c r="F123" i="2"/>
  <c r="F116" i="2"/>
  <c r="F121" i="2"/>
  <c r="F118" i="2"/>
  <c r="F107" i="2"/>
  <c r="F115" i="2"/>
  <c r="F108" i="2"/>
  <c r="F106" i="2"/>
  <c r="F113" i="2"/>
  <c r="F109" i="2"/>
  <c r="F88" i="2"/>
  <c r="F85" i="2"/>
  <c r="F117" i="2"/>
  <c r="F14" i="2"/>
  <c r="F89" i="2"/>
  <c r="F101" i="2"/>
  <c r="F75" i="2"/>
  <c r="F60" i="2"/>
  <c r="F56" i="2"/>
  <c r="F47" i="2"/>
  <c r="F48" i="2"/>
  <c r="F39" i="2"/>
  <c r="F18" i="2"/>
  <c r="F23" i="2"/>
  <c r="F61" i="2" l="1"/>
  <c r="F35" i="2"/>
  <c r="F120" i="2"/>
  <c r="F90" i="2"/>
  <c r="F63" i="2"/>
  <c r="F54" i="2"/>
  <c r="F87" i="2"/>
  <c r="F42" i="2"/>
  <c r="F83" i="2" l="1"/>
  <c r="F99" i="2"/>
  <c r="F66" i="2"/>
  <c r="F94" i="2"/>
  <c r="F112" i="2"/>
  <c r="F95" i="2"/>
  <c r="F79" i="2"/>
  <c r="F70" i="2"/>
  <c r="F84" i="2"/>
  <c r="F12" i="2"/>
  <c r="F86" i="2"/>
  <c r="F77" i="2"/>
  <c r="F69" i="2"/>
  <c r="F15" i="2"/>
  <c r="F81" i="2"/>
  <c r="F80" i="2"/>
  <c r="F74" i="2"/>
  <c r="F82" i="2"/>
  <c r="F8" i="2" l="1"/>
  <c r="F62" i="2"/>
  <c r="F68" i="2"/>
  <c r="F45" i="2"/>
  <c r="F44" i="2"/>
  <c r="F65" i="2" l="1"/>
  <c r="F49" i="2"/>
  <c r="F64" i="2"/>
  <c r="F7" i="2" l="1"/>
  <c r="F67" i="2"/>
  <c r="F59" i="2"/>
  <c r="F55" i="2"/>
  <c r="F57" i="2"/>
  <c r="F58" i="2" l="1"/>
  <c r="F51" i="2"/>
  <c r="F53" i="2"/>
  <c r="F40" i="2"/>
  <c r="F52" i="2"/>
  <c r="F46" i="2"/>
  <c r="F27" i="2" l="1"/>
  <c r="F38" i="2"/>
  <c r="F33" i="2"/>
  <c r="F50" i="2"/>
  <c r="F41" i="2"/>
  <c r="F37" i="2"/>
  <c r="F28" i="2"/>
  <c r="F43" i="2" l="1"/>
  <c r="F36" i="2"/>
  <c r="F34" i="2" l="1"/>
  <c r="F32" i="2"/>
  <c r="F25" i="2"/>
  <c r="F24" i="2" l="1"/>
  <c r="F19" i="2"/>
  <c r="F13" i="2" l="1"/>
  <c r="F124" i="2" l="1"/>
</calcChain>
</file>

<file path=xl/sharedStrings.xml><?xml version="1.0" encoding="utf-8"?>
<sst xmlns="http://schemas.openxmlformats.org/spreadsheetml/2006/main" count="490" uniqueCount="408">
  <si>
    <t>Wykonawca</t>
  </si>
  <si>
    <t>usługa/zakup</t>
  </si>
  <si>
    <t>Data wniosku</t>
  </si>
  <si>
    <t>Nr zamówienia - wniosku DF-WKS</t>
  </si>
  <si>
    <t>Lp.</t>
  </si>
  <si>
    <t>Wartość zamówienia</t>
  </si>
  <si>
    <t>-</t>
  </si>
  <si>
    <t>RAZEM</t>
  </si>
  <si>
    <t>Opłata</t>
  </si>
  <si>
    <t>Poczta Polska s.a.</t>
  </si>
  <si>
    <t>Grupa Pracuj Sp. z o.o.</t>
  </si>
  <si>
    <t>Refundacja za kurs języka angielskiego</t>
  </si>
  <si>
    <t>Archibald Sp. z o.o.</t>
  </si>
  <si>
    <t>DF-WBO/2020/066</t>
  </si>
  <si>
    <t>Sukcesywny zakup akcesoriów komputerowych, sprzętu komputerowego oraz szyfrowanych nośników danych celem zabezpieczenia prawidłowego funkcjonowania komórek organizacyjnych CPPC.</t>
  </si>
  <si>
    <t>2020.05.12</t>
  </si>
  <si>
    <t>DF-WBO/2020/078</t>
  </si>
  <si>
    <t xml:space="preserve">Publikacja ogłoszeń rekrutacyjnych na potrzeby CPPC </t>
  </si>
  <si>
    <t>2020.06.05</t>
  </si>
  <si>
    <t xml:space="preserve"> Rejestr zamówień finansowanych przez Centrum Projektów Polska Cyfrowa w 2021 roku </t>
  </si>
  <si>
    <t>Opłata za odbiorniki radiofoniczne i telefoniczne CPPC za 2021 r.</t>
  </si>
  <si>
    <t>DF-WBO/2021/001</t>
  </si>
  <si>
    <t>X-KOM Sp. z o.o.</t>
  </si>
  <si>
    <t>2021.01.02</t>
  </si>
  <si>
    <t>DF-WBO/2021/009</t>
  </si>
  <si>
    <t>DF-WBO/2021/003</t>
  </si>
  <si>
    <t>DF-WBO/2021/020</t>
  </si>
  <si>
    <t>DF-WBO/2021/013</t>
  </si>
  <si>
    <t>2020.12.30</t>
  </si>
  <si>
    <t>Zakup subskrypcji w programie do wizualizacji danych na potrzeby POPC</t>
  </si>
  <si>
    <t>2021.01.12</t>
  </si>
  <si>
    <t>Zakup akcesoriów na wyposażenie biur i pomieszczeń socjalnych CPPC</t>
  </si>
  <si>
    <t>2021.01.07</t>
  </si>
  <si>
    <t>Udział pracownika WKiK CPPC w szkoleniu: „Prawo Pracy 2021 z uwzględnieniem specyfiki COVID 19”.</t>
  </si>
  <si>
    <t>2021.02.08</t>
  </si>
  <si>
    <t>ApexNet Sp. z o.o. S.k.</t>
  </si>
  <si>
    <t>Easy WebContent, Inc. DBA Visme</t>
  </si>
  <si>
    <t>DF-WBO/2021/021</t>
  </si>
  <si>
    <t>DF-WBO/2021/022</t>
  </si>
  <si>
    <t>DF-WBO/2021/026</t>
  </si>
  <si>
    <t>DF-WBO/2021/027</t>
  </si>
  <si>
    <t>DF-WBO/2021/028</t>
  </si>
  <si>
    <t>DF-WBO/2021/030</t>
  </si>
  <si>
    <t>DF-WBO/2021/031</t>
  </si>
  <si>
    <t>Zakup usługi przesyłania treści mailowych do 10 000 odbiorców co miesiąc, na okres roku.</t>
  </si>
  <si>
    <t>2021.01.14</t>
  </si>
  <si>
    <t>Świadczenie usługi 24 miesięcznego serwisu internetowego w zakresie Kompleksowej Bazy Wiedzy dla pracowników CPPC (dostęp do serwisu Inforlex)</t>
  </si>
  <si>
    <t>2021.02.09</t>
  </si>
  <si>
    <t>Szkolenie Pomoc publiczna i pomoc de minimis w okresie programowania 2014-2020 i 2021-2027 dla 14 pracowników DEA</t>
  </si>
  <si>
    <t>2021.02.17</t>
  </si>
  <si>
    <t>Udział pracownika CPPC w szkoleniu "FACEBOOK &amp; INSTAGRAM PRO"</t>
  </si>
  <si>
    <t>2021.02.26</t>
  </si>
  <si>
    <t>Szkolenie online dla 1 pracownika WZP z tematu „Przetarg nieograniczony w nowym Prawie zamówień publicznych - wzorzec procedury, przykłady wzorcowych dokumentów w postępowaniu oraz projektowanych postanowień umownych”. Termin 4-5 marca 2021 r.</t>
  </si>
  <si>
    <t>2021.03.02</t>
  </si>
  <si>
    <t xml:space="preserve">Szkolenie online dla 1 pracownika CPPC "LinkedinPRO - sposób na sprzedaż i promocję marki". </t>
  </si>
  <si>
    <t>Zakup usługi płatnej promocji postów CPPC w kanałach social media.</t>
  </si>
  <si>
    <t>2021.03.01</t>
  </si>
  <si>
    <t>FRESHMAIL SP. Z O.O.</t>
  </si>
  <si>
    <t>INFOR PL S.A.</t>
  </si>
  <si>
    <t>Krajowa Szkoła Administracji Publicznej im.Prezedenta Rzeczypospolitej Lecha Kaczyńskiego</t>
  </si>
  <si>
    <t>Social Media Now Piotr Chmielewski</t>
  </si>
  <si>
    <t xml:space="preserve">Centrum Doradztwa i Kształcenia Nowe Przetargi </t>
  </si>
  <si>
    <t>Facebook</t>
  </si>
  <si>
    <t>Naukowa i Akademicka Sieć Komputerowa</t>
  </si>
  <si>
    <t>Usługa udostępnienia domeny wwpe.gov.pl za okres 14.03.2021 - 13.03.2022</t>
  </si>
  <si>
    <t>Usługa udostępnienia domeny cppc.gov.pl na okres 2021-04-08 - 2022-04-07</t>
  </si>
  <si>
    <t>DF-WBO/2021/025</t>
  </si>
  <si>
    <t>DF-WBO/2021/008</t>
  </si>
  <si>
    <t>DF-WBO/2021/032</t>
  </si>
  <si>
    <t>DF-WBO/2021/010</t>
  </si>
  <si>
    <t>DF-WBO/2021/036</t>
  </si>
  <si>
    <t>DF-WBO/2021/041</t>
  </si>
  <si>
    <t>Wykonanie i dostawa pieczątek (automaty samotuszujące, gumki z tekstem), datowników oraz wizytówek zgodnie z ustalonymi parametrami</t>
  </si>
  <si>
    <t>2021.01.08</t>
  </si>
  <si>
    <t>Udział 10 pracowników CPPC w szkoleniu online "Design Thinking – skuteczna metoda tworzenia innowacyjnych rozwiązań"</t>
  </si>
  <si>
    <t>2021.04.29</t>
  </si>
  <si>
    <t>Udział w szkoleniu online pn. „Wzorcowa specyfikacja warunków zamówienia (SWZ) i inne ważne zmiany wynikające z nowego Prawa zamówień publicznych” 1 pracownika CPPC w dniach 18-19 marca 2021 r.</t>
  </si>
  <si>
    <t>2021.03.09</t>
  </si>
  <si>
    <t>2021.03.19</t>
  </si>
  <si>
    <t>2021.04.09</t>
  </si>
  <si>
    <t xml:space="preserve">Bazarnik Sp.z o.o.
</t>
  </si>
  <si>
    <t xml:space="preserve">Krajowa Szkoła Administracji Publicznej im.Prezedenta Rzeczypospolitej Lecha Kaczyńskiego
</t>
  </si>
  <si>
    <t xml:space="preserve">ApexNet Sp. z o.o. S.k.
</t>
  </si>
  <si>
    <t xml:space="preserve">Szkolenia Prawne Agnieszka Kuźdub
</t>
  </si>
  <si>
    <t>Usługi drukarskie i poligraficzne na potrzeby POPC</t>
  </si>
  <si>
    <t>2021.01.13</t>
  </si>
  <si>
    <t>DF-WBO/2021/024</t>
  </si>
  <si>
    <t>DF-WBO/2021/034</t>
  </si>
  <si>
    <t>Udział  13 osób z Departamentu Systemowego w szkoleniu online dla pn. „Prosta polszczyzna w tekstach urzędowych – warsztaty plain language”</t>
  </si>
  <si>
    <t>DF-WBO/2021/039</t>
  </si>
  <si>
    <t xml:space="preserve">Zakup dodatkowych licencji do CodeTwo Exchange Rules Pro w ilości 50 sztuk.
</t>
  </si>
  <si>
    <t xml:space="preserve">CodeTwo Sp. z o.o. Sp.k. </t>
  </si>
  <si>
    <t>DF-WBO/2020/036</t>
  </si>
  <si>
    <t>Centrum Obsługi Administracji Rządowej</t>
  </si>
  <si>
    <t>Przedmiotem zamówienia przeprowadzenie postepowania na zakup usług: rezerwacja, sprzedaż, oraz dostarczenie biletów kolejowych i lotniczych na trasach zagranicznych i krajowych, , rezerwacje i sprzedaż miejsc hotelowych wraz ze śniadaniem , miejsc parkingowych i polis na potrzeby podróży służbowych pracowników CPPC</t>
  </si>
  <si>
    <t>DF-WBO/2021/054</t>
  </si>
  <si>
    <t>Udział  12 pracowników DEA w szkoleniu pt "Kontrola i audyt projektów współfinansowanych z UE ", w dniach: 12-13 maj 2021r.</t>
  </si>
  <si>
    <t xml:space="preserve">Krajowa Szkoła Administracji Publicznej im.Prezedenta Rzeczypospolitej </t>
  </si>
  <si>
    <t xml:space="preserve">Przedmiotem zamówienia jest usługa polegająca na przeprowadzeniu pilotażu związanego z obsługą zgłoszeń od partnerów zewnętrznych (wnioskodawcy, beneficjenci) w systemie Jira.
</t>
  </si>
  <si>
    <t>DF-WBO/2021/035</t>
  </si>
  <si>
    <t>INPROGRESS Sp. z o.o.</t>
  </si>
  <si>
    <t>Szkolenie z zakresu metodyki AgilePM Foundation dla 1 osoby z Wydziału Kontroli w terminie 10-11.05.2021 r.</t>
  </si>
  <si>
    <t>DF-WBO/2021/023</t>
  </si>
  <si>
    <t>Akademia Aplikacji Sp. z o.o.</t>
  </si>
  <si>
    <t>Szkolenie Office365 z elementami SharePoint dla pracowników CPPC.</t>
  </si>
  <si>
    <t>2020.01.28</t>
  </si>
  <si>
    <t>2021.02.19</t>
  </si>
  <si>
    <t>2021.03.29</t>
  </si>
  <si>
    <t>DF-WBO/2021/029</t>
  </si>
  <si>
    <t>Uniteam Sp. z o.o.</t>
  </si>
  <si>
    <t>2021.03.04</t>
  </si>
  <si>
    <t>2021.03.24</t>
  </si>
  <si>
    <t>2021.03.25</t>
  </si>
  <si>
    <t>2021.04.12</t>
  </si>
  <si>
    <t>2021.05.07</t>
  </si>
  <si>
    <t>SPEAK &amp; PLAY ENGLISH SCHOOL MICHALINA RUTKOWSKA</t>
  </si>
  <si>
    <t>DF-WBO/2021/049</t>
  </si>
  <si>
    <t>DF-WBO/2021/047</t>
  </si>
  <si>
    <t>DF-WBO/2021/059</t>
  </si>
  <si>
    <t>DF-WBO/2021/038</t>
  </si>
  <si>
    <t>DF-WBO/2021/062</t>
  </si>
  <si>
    <t>DF-WBO/2021/056</t>
  </si>
  <si>
    <t>DF-WBO/2021/040</t>
  </si>
  <si>
    <t>DF-WBO/2021/068</t>
  </si>
  <si>
    <t>Cherry School Agnieszka Malinowska</t>
  </si>
  <si>
    <t>Szkolenie dla 1 pracownika CPPC z Wydziału Kontroli w terminie 10-12.05.2021 r. z zakresu metodyki PRINCE2®</t>
  </si>
  <si>
    <t>Udział 4 pracowników WKiK CPPC w szkoleniu: „V Forum Rachunkowości Budżetowej”.</t>
  </si>
  <si>
    <t>2021.04.19</t>
  </si>
  <si>
    <t>2021.04.01</t>
  </si>
  <si>
    <t>2021.04.08</t>
  </si>
  <si>
    <t>2021.04.20</t>
  </si>
  <si>
    <t>Szkolenie online dla 1 pracownika CPPC w terminie 12 maja 2021 r. pt Facebook Marketing &amp; Ads.</t>
  </si>
  <si>
    <t>Szkolenie online 3 pracowników CPPC IT z wdrażania i administracji Microsoft Exchange Server 2016 w dn. 8-11.06.2021r.</t>
  </si>
  <si>
    <t>2021.05.10</t>
  </si>
  <si>
    <t>2021.05.24</t>
  </si>
  <si>
    <t>Szkolenie online dla 7 pracowników CPPC z Wydziału Kontroli DS pn. „Autoprezentacja i wystąpienia publiczne na żywo i on-line”</t>
  </si>
  <si>
    <t>2021.05.27</t>
  </si>
  <si>
    <t>Szkolenie online dla 1 pracownika CPPC z Departamentu Systemowego, która jest operatorem DLP i odpowiada za współpracę i rozliczenie pracy pełnomocnika dyrektora CPPC ds. bezpieczeństwa informacji.</t>
  </si>
  <si>
    <t>2021.05.31</t>
  </si>
  <si>
    <t>DEKRA Polska Sp. z o.o.</t>
  </si>
  <si>
    <t xml:space="preserve">I know IT Szymański Bojar spółka jawna
</t>
  </si>
  <si>
    <t xml:space="preserve">AVENHANSEN Sp. z o.o.
</t>
  </si>
  <si>
    <t xml:space="preserve">INPROGRESS Sp. z o.o.
</t>
  </si>
  <si>
    <t xml:space="preserve">iSURVIVAL Maciej Lewiński
</t>
  </si>
  <si>
    <t xml:space="preserve">PRESSCOM Sp. z o.o.
</t>
  </si>
  <si>
    <t xml:space="preserve">MaxROY.com Sp.z o.o.
</t>
  </si>
  <si>
    <t>DF-WBO/2021/067</t>
  </si>
  <si>
    <t>DF-WBO/2021/064</t>
  </si>
  <si>
    <t>DF-WBO/2021/069</t>
  </si>
  <si>
    <t>DF-WBO/2021/072</t>
  </si>
  <si>
    <t>DF-WBO/2021/080</t>
  </si>
  <si>
    <t>DF-WBO/2021/014</t>
  </si>
  <si>
    <t>Udział 2 pracowników WKiK CPPC w szkoleniu: „Należności budżetowe 2021 w JSFP – Praktyczne aspekty realizacji, ewidencji i windykacji”</t>
  </si>
  <si>
    <t>Szkolenie online: „Cyberbezpieczeństwo dla nie informatyków” dla 19 pracowników DEA.</t>
  </si>
  <si>
    <t>2021.06.09</t>
  </si>
  <si>
    <t>Zakup prenumeraty w wersji papierowej i elektronicznej na potrzeby CPPC.</t>
  </si>
  <si>
    <t>2021.06.21</t>
  </si>
  <si>
    <t>Obsługa techniczna samochodu służbowego Skoda Rapid WY2031H (badania techniczne, przeglądy, wymiany sezonowe opon, wyposażenie dodatkowe)</t>
  </si>
  <si>
    <t>Szkolenie 2 pracowników WZP w szkoleniu online pn. „SZKOLENIE OD PODSTAW: Wzorcowe prowadzenie procedur w nowym Prawie zamówień publicznych” w dniach 14-15.07.2021 r.</t>
  </si>
  <si>
    <t>2021.07.05</t>
  </si>
  <si>
    <t>MDDP Akademia Biznesu Sp. z o.o.</t>
  </si>
  <si>
    <t>Centrum Doradztwa i Kształcenia Nowe Przetargi Wojciech Błaszczak</t>
  </si>
  <si>
    <t>PRESSCOM Sp. z o.o.</t>
  </si>
  <si>
    <t>2021.02.01</t>
  </si>
  <si>
    <t>Zakup artykułów spożywczych na potrzeby CPPC</t>
  </si>
  <si>
    <t>Opłata za dokonane notarialne poświadczenie zgodności odpisów z okazanymi dokumentami - aktu powołania dyrektora CPPC oraz aktu powołania zastępcy dyrektora CPPC - w związku z toczącym się postępowaniem upadłościowym.</t>
  </si>
  <si>
    <t>Patrycja Tomala, Kancelaria Notarialna Bartosz Walenda</t>
  </si>
  <si>
    <t>DF-WBO/2021/053</t>
  </si>
  <si>
    <t>DF-WBO/2021/078</t>
  </si>
  <si>
    <t>DF-WBO/2021/046</t>
  </si>
  <si>
    <t>DF-WBO/2021/005</t>
  </si>
  <si>
    <t>Zakup niezbędnych środków ochrony osobistej dla pracowników CPPC.</t>
  </si>
  <si>
    <t>2021.01.15</t>
  </si>
  <si>
    <t>DF-WBO/2021/077</t>
  </si>
  <si>
    <t xml:space="preserve">Refundacja szkolenia pt Zintegrowany kurs specjalistów ds. kadr i płac (od podstaw do specjalisty) </t>
  </si>
  <si>
    <t>2021.04.22</t>
  </si>
  <si>
    <t>Kurs zdalny wieczorowy pt "UI Design" dla 1 pracownika CPPC w terminie 24.05-21.07.2021 r.</t>
  </si>
  <si>
    <t>2021.05.06</t>
  </si>
  <si>
    <t xml:space="preserve">Refundacja kosztów za studia podyplomowe "Kontrola wewnętrza i Audyt" </t>
  </si>
  <si>
    <t>2021.07.02</t>
  </si>
  <si>
    <t>2021.06.29</t>
  </si>
  <si>
    <t>Wyższa Szkoła Menedżerska w Warszawie</t>
  </si>
  <si>
    <t>INFOSHARE ACADEMY Sp. z o.o.</t>
  </si>
  <si>
    <t>Agnieszka Kostrzewa-Nowak</t>
  </si>
  <si>
    <t>Akademia CEDOZ Sp. z o.o.</t>
  </si>
  <si>
    <t>DF-WBO/2021/081</t>
  </si>
  <si>
    <t>DF-WBO/2021/089</t>
  </si>
  <si>
    <t>DF-WBO/2021/045</t>
  </si>
  <si>
    <t>DF-WBO/2021/074</t>
  </si>
  <si>
    <t>DF-WBO/2021/096</t>
  </si>
  <si>
    <t>Zakup usług drukarskich i poligraficznych na potrzeby informacji i promocji POPC.</t>
  </si>
  <si>
    <t>Strefa Xero - Druk i Reklama Sp. z o.o.</t>
  </si>
  <si>
    <t xml:space="preserve">Refundacja pracownikowi DF-WKK kosztów szkolenia pt. Assessment center i development center. </t>
  </si>
  <si>
    <t>Zakup książek w wersji drukowanej na potrzeby CPPC</t>
  </si>
  <si>
    <t>2021.06.28</t>
  </si>
  <si>
    <t xml:space="preserve">Szkolenie dla 4 pracowników WZP pn.” „Praktyczne warsztaty zamówień publicznych – Tryb podstawowy, Przetarg nieograniczony. Pierwsze błędy i nieprawidłowości – w oparciu o konkretne stany faktyczne” w dniach 25-27.08.2021 r. </t>
  </si>
  <si>
    <t>Szkolenie online 4 pracowników Wydziału Systemowego dotyczące Dyrektywy o ochronie sygnalistów</t>
  </si>
  <si>
    <t>2021.07.19</t>
  </si>
  <si>
    <t xml:space="preserve">Udział pracownika CPPC w szkoleniu „Obieg dokumentów w Systemie Elektronicznego Zarządzania Dokumentacją (EZD)” </t>
  </si>
  <si>
    <t>Ośrodek Szkoleń i Informacji "EFFECT" Joanna Jarosz-Opolka</t>
  </si>
  <si>
    <t>ADN AKADEMIA SPÓŁKA Z OGRANICZONĄ
ODPOWIEDZIALNOŚCIĄ SPÓŁKA KOMANDYTOWA</t>
  </si>
  <si>
    <t>Wydawnictwo C.H.Beck Sp. z o.o.</t>
  </si>
  <si>
    <t xml:space="preserve">Ośrodek Edukacyjny FORUM Anna Hoffmann
</t>
  </si>
  <si>
    <t>DF-WBO/2021/097</t>
  </si>
  <si>
    <t>DF-WBO/2021/106</t>
  </si>
  <si>
    <t>Zakup dostępu do serwisu internetowego SzuKIO.pl na okres 24 miesięcy.</t>
  </si>
  <si>
    <t>2021.09.13</t>
  </si>
  <si>
    <t>DF-WBO/2021/093</t>
  </si>
  <si>
    <t>Szkolenie online dla 2 pracowników DP „Kodeks prawa pracy 2021- przegląd aktualnych i planowanych regulacji prawnych”. Termin 14.09.2021 r.</t>
  </si>
  <si>
    <t>2021.08.04</t>
  </si>
  <si>
    <t>DF-WBO/2021/102</t>
  </si>
  <si>
    <t>DF-WBO/2021/101</t>
  </si>
  <si>
    <t>Refundacja za kurs przygotowujący do egzaminu zawodowego w 2022r. organizowanego przez Szkołę Prawa Procesowego i Mediacji AD EXEMPLUM mec. Agaty Rewerskiej w okresie od IX.2021r. do III.2022r.</t>
  </si>
  <si>
    <t>2021.08.31</t>
  </si>
  <si>
    <t>2021.08.18</t>
  </si>
  <si>
    <t>DF-WBO/2021/083</t>
  </si>
  <si>
    <t>Szkolenie 1 pracownika WZP pn. „Umowy w sprawach zamówień publicznych” w dniach 23-24.09.2021 r.</t>
  </si>
  <si>
    <t xml:space="preserve">Udział w szkoleniu „Archiwizacja dokumentacji i funkcjonowanie archiwum zakładowego” pracownika CPPC </t>
  </si>
  <si>
    <t>DF-WBO/2021/107</t>
  </si>
  <si>
    <t>DF-WBO/2021/113</t>
  </si>
  <si>
    <t>Udział w szkoleniu otwartym online PIK pt.: "Instrumenty finansowe w polityce spójności UE: aspekty formalne i praktyczne" 5 października 2021 r. dla 2 pracowników Departamentu Wdrażania Projektów Szerokopasmowych</t>
  </si>
  <si>
    <t>2021.09.30</t>
  </si>
  <si>
    <t>DF-WBO/2021/108</t>
  </si>
  <si>
    <t>Szkolenie online dla 5 osób z Departamentu Systemowego pn. „Nadużycia finansowe w projektach współfinansowanych z funduszy unijnych”.</t>
  </si>
  <si>
    <t>2021.09.22</t>
  </si>
  <si>
    <t>DF-WBO/2021/084</t>
  </si>
  <si>
    <t xml:space="preserve">Refundacja studiów podyplomowych Studiów Administrowania Funduszami Unijnymi </t>
  </si>
  <si>
    <t>2021.07.07</t>
  </si>
  <si>
    <t>DF-WBO/2021/100</t>
  </si>
  <si>
    <t>2021.08.26</t>
  </si>
  <si>
    <t>DF-WBO/2021/124</t>
  </si>
  <si>
    <t>Refundacja kosztów nauki j. angielskiego dla pracownika CPPC</t>
  </si>
  <si>
    <t>2021.10.06</t>
  </si>
  <si>
    <t>DF-WBO/2021/146</t>
  </si>
  <si>
    <t>DF-WBO/2021/123</t>
  </si>
  <si>
    <t>2021.10.20</t>
  </si>
  <si>
    <t>Usługa dostosowanie techniczne strony www</t>
  </si>
  <si>
    <t>DF-WBO/2021/079</t>
  </si>
  <si>
    <t>Udział w szkoleniu 4 pracowników DEA pt "Sztuka Wystąpień Publicznych – Genialny Mówca"</t>
  </si>
  <si>
    <t>DF-WBO/2021/091</t>
  </si>
  <si>
    <t>Świadczenie usług telefonii ruchomej wraz z dostawą telefonów komórkowych, modemów i kart SIM na potrzeby Jednostek Administracji Państwowej. Postępowanie będzie realizowane przez COAR.</t>
  </si>
  <si>
    <t>2021.08.10</t>
  </si>
  <si>
    <t>DF-WBO/2021/132</t>
  </si>
  <si>
    <t xml:space="preserve"> Udział w szkoleniu 3 pracowników WZP (1 pracownik etat, 2 pracowników APT) z tematu: „Nieprawidłowości w procedurach zamówień publicznych w pół roku po nowelizacji - wnioski organów orzekających i kontroli”. Termin 14.10.2021r.</t>
  </si>
  <si>
    <t>2021.10.11</t>
  </si>
  <si>
    <t>2021.09.16</t>
  </si>
  <si>
    <t>DF-WBO/2021/153</t>
  </si>
  <si>
    <t>Usługa wyprodukowania i dostarczenia materiałów promocyjnych na potrzeby konkursu „Cyfrowa Gmina”.</t>
  </si>
  <si>
    <t>2021.10.26</t>
  </si>
  <si>
    <t>DF-WBO/2021/099</t>
  </si>
  <si>
    <t>Udział w szkoleniu „Porządkowanie i archiwizacja dokumentacji projektów unijnych” pracownika CPPC</t>
  </si>
  <si>
    <t>LSLABS Maciej Tomaka</t>
  </si>
  <si>
    <t>MM CONFERENCES SPÓŁKA AKCYJNA</t>
  </si>
  <si>
    <t>Agata Rewerska AD Exemplum</t>
  </si>
  <si>
    <t xml:space="preserve">ENAF Sp. z o.o., VICOP-Urszula Opłocka; Strefa Xero - Druk i Reklama Sp. z o.o.
</t>
  </si>
  <si>
    <t>Dariusz Koba Consulting Group</t>
  </si>
  <si>
    <t>Ośrodek Edukacyjny FORUM Anna Hoffmann</t>
  </si>
  <si>
    <t>Polski Instytut Kształcenia Krzysztof Zientarski</t>
  </si>
  <si>
    <t>EURO-TRAINING Centrum Szkoleniowo-Doradcze Anna Osińska</t>
  </si>
  <si>
    <t xml:space="preserve">Akademia CEZOZ Sp.z o.o. </t>
  </si>
  <si>
    <t>Pure Joy</t>
  </si>
  <si>
    <t>sm32 Studio Marek Murchacki</t>
  </si>
  <si>
    <t xml:space="preserve">Skule Piotr Wdowiarski </t>
  </si>
  <si>
    <t>BUSINESS STUDIO Artur Sokołowski</t>
  </si>
  <si>
    <t>FLUENTBE Sp. z o.o.</t>
  </si>
  <si>
    <t>Szkoła Główna Handlowa w Warszawie</t>
  </si>
  <si>
    <t>DF-WBO/2021/116</t>
  </si>
  <si>
    <t>2021.10.01</t>
  </si>
  <si>
    <t>Szkolenia Prawne Agnieszka Kuźdub</t>
  </si>
  <si>
    <t>DF-WBO/2021/133</t>
  </si>
  <si>
    <t>DF-WBO/2021/063</t>
  </si>
  <si>
    <t>DF-WBO/2021/076</t>
  </si>
  <si>
    <t>DF-WBO/2021/119</t>
  </si>
  <si>
    <t>DF-WBO/2021/137</t>
  </si>
  <si>
    <t>DF-WBO/2021/144</t>
  </si>
  <si>
    <t>DF-WBO/2021/145</t>
  </si>
  <si>
    <t>DF-WBO/2021/090</t>
  </si>
  <si>
    <t>DF-WBO/2021/148</t>
  </si>
  <si>
    <t>DF-WBO/2021/155</t>
  </si>
  <si>
    <t>DF-WBO/2021/120</t>
  </si>
  <si>
    <t>Udział 1 pracownika CPPC w szkoleniu stacjonarnym z tematu: „Tryb podstawowy - krok po kroku przez pełną procedurę udzielania zamówień na podstawie nowego PZP”, w dniach 15-16 czerwca 2021 r. w Warszawie</t>
  </si>
  <si>
    <t>2021.07.23</t>
  </si>
  <si>
    <t>Kurs zdalny wieczorowy dla jednego pracownika CPPC  pt. "UX Design” w terminie od 7 września 2021 r. do 4 listopada 2021 r.</t>
  </si>
  <si>
    <t>Szkolenie online dla 1 pracownika APT pn. ONLINE LIVE: Koordynacja współpracy z kontrolami zewnętrznymi i audytem wewnętrznym"</t>
  </si>
  <si>
    <t>2021.10.04</t>
  </si>
  <si>
    <t>Udział w szkoleniu online „Procedura udzielania zamówienia publicznego od A do Z” 3 pracowników APT. Termin 28.10.2021r.</t>
  </si>
  <si>
    <t>2021.10.14</t>
  </si>
  <si>
    <t>Szkolenie online dla 3 pracowników CPPC pn. „Skargi, wnioski i petycje w ogólnym postępowaniu administracyjnym – warsztaty praktyczne”.</t>
  </si>
  <si>
    <t xml:space="preserve">Refundację kosztów związanych z udziałem w kursie pn. „Szkolenie online ABC Rachunkowości budżetowej” - pracownik CPPC </t>
  </si>
  <si>
    <t>2021.10.19</t>
  </si>
  <si>
    <t>2021.10.21</t>
  </si>
  <si>
    <t>Szkolenie 2 pracowników CPPC „Digital Transformation Expert Poziom 1”</t>
  </si>
  <si>
    <t>2021.11.04</t>
  </si>
  <si>
    <t>MORELE.NET Sp. z o.o., X-KOM Sp. z o.o., Proshop a/s; PASJA Jolanta Zalewska, Komputronik S.A.</t>
  </si>
  <si>
    <t xml:space="preserve"> ApexNet Sp. z o.o. S.k.</t>
  </si>
  <si>
    <t>Centrum Serwisowe GP s.c.; CARREFOUR HIPERMARKET; OPONEO.PL s.a.</t>
  </si>
  <si>
    <t>IMPERLA Olga Borzęcka, Textual Joanna Jastrzębska</t>
  </si>
  <si>
    <t>Refundacja za kurs języka angielskiego i francuskiego</t>
  </si>
  <si>
    <t>KRAJOWA SZKOŁA ADMINISTRACJI PUBLICZNEJ IM. PREZYDENTA RZECZYPOSPOLITEJ POLSKIEJ LECHA KACZYŃSKIEGO</t>
  </si>
  <si>
    <t>Centrum Organizacji Szkoleń i Konferencji SEMPER Magdalena Wolniewicz-Kesaria</t>
  </si>
  <si>
    <t xml:space="preserve">Centrum Doskonalenia Językowego Dominika Dymerska </t>
  </si>
  <si>
    <t>Digital University Sp. z o. o.</t>
  </si>
  <si>
    <t>Collegium Civitas</t>
  </si>
  <si>
    <t>Wykonanie przeglądu technicznego po roku eksploatacji samochodu służbowego Skoda Rapid WY2031H</t>
  </si>
  <si>
    <t>Udział 3 pracowników CPPC w szkoleniu "Zmiany w egzekucji administracyjnej wchodzące w życie z dniem 20 lutego 2021 roku oraz nowe akty wykonawcze".</t>
  </si>
  <si>
    <t xml:space="preserve"> Szkolenie online dla 1 pracownika CPPC, w dniach 27-28.05.2021r. pt. "Google Analytics".</t>
  </si>
  <si>
    <t xml:space="preserve">Udział 10 pracowników CPPC w szkoleniu nt. "Rozliczanie i kontrola projektów unijnych - szkolenie dla pracowników instytucji kontrolujących Beneficjentów". </t>
  </si>
  <si>
    <t>Udział 4 pracowników CPPC w szkoleniu: Techniki Wywierania Wpływu – Perswazja i Manipulacja.</t>
  </si>
  <si>
    <t xml:space="preserve">Refundacja za studiów podyplomowych "Cyberbezpieczeństwo" </t>
  </si>
  <si>
    <t>stan na 31.12.2021</t>
  </si>
  <si>
    <t>Stan na 31-12-2021</t>
  </si>
  <si>
    <t>DF-WBO/2021/017</t>
  </si>
  <si>
    <t>DF-WBO/2021/048</t>
  </si>
  <si>
    <t>DF-WBO/2021/065</t>
  </si>
  <si>
    <t>DF-WBO/2021/070</t>
  </si>
  <si>
    <t>DF-WBO/2021/095</t>
  </si>
  <si>
    <t>DF-WBO/2021/135</t>
  </si>
  <si>
    <t>DF-WBO/2021/117</t>
  </si>
  <si>
    <t>DF-WBO/2021/118</t>
  </si>
  <si>
    <t>DF-WBO/2021/149</t>
  </si>
  <si>
    <t>DF-WBO/2021/151</t>
  </si>
  <si>
    <t>DF-WBO/2021/110</t>
  </si>
  <si>
    <t>DF-WBO/2021/138</t>
  </si>
  <si>
    <t>DF-WBO/2021/143</t>
  </si>
  <si>
    <t>DF-WBO/2021/147</t>
  </si>
  <si>
    <t>DF-WBO/2021/140</t>
  </si>
  <si>
    <t>DF-WBO/2021/141</t>
  </si>
  <si>
    <t>DF-WBO/2021/142</t>
  </si>
  <si>
    <t>DF-WBO/2021/152</t>
  </si>
  <si>
    <t>DF-WBO/2021/156</t>
  </si>
  <si>
    <t>DF-WBO/2021/158</t>
  </si>
  <si>
    <t>DF-WBO/2021/150</t>
  </si>
  <si>
    <t>DF-WBO/2021/159</t>
  </si>
  <si>
    <t>DF-WBO/2021/127</t>
  </si>
  <si>
    <t>DF-WBO/2021/129</t>
  </si>
  <si>
    <t>DF-WBO/2021/121</t>
  </si>
  <si>
    <t>DF-WBO/2021/122</t>
  </si>
  <si>
    <t>DF-WBO/2021/139</t>
  </si>
  <si>
    <t>DF-WBO/2021/131</t>
  </si>
  <si>
    <t>DF-WBO/2021/136</t>
  </si>
  <si>
    <t>Usługi notarialne - poświadczenie podpisu: wykreśleniem twardych zabezpieczeń realziacji umowy w postaci hipotek jednego z Beneficjentów realizujących projekty w ramach działania 3.1 POPC.</t>
  </si>
  <si>
    <t>Zakup usługi serwisowej polegającej na naprawie laptopa</t>
  </si>
  <si>
    <t xml:space="preserve">Opłata </t>
  </si>
  <si>
    <t>Usługi przejazdu taksówka do Sejmu</t>
  </si>
  <si>
    <t xml:space="preserve">Udział pracownika CPPC w szkoleniu pn. Akademia HR business partnera" </t>
  </si>
  <si>
    <t>Udział w szkoleniu online dla 1 pracownika CPPC, która będzie pełniła funkcję operatora systemu DLP</t>
  </si>
  <si>
    <t>2021.04.26</t>
  </si>
  <si>
    <t>Udział w szkoleniu online dla pracownika CPPC z tematyki ewaluacji.</t>
  </si>
  <si>
    <t>Szkolenie online dla 5 osób – pracowników CPPC - w formie warsztatów online z wdrożenia w środowisku Office365 przykładowego workflow.</t>
  </si>
  <si>
    <t>2021.06.07</t>
  </si>
  <si>
    <t>Zakup, dostosowanie i wdrożenie aplikacji do rezerwacji biurek, czyli tak zwanych Hot Desk.</t>
  </si>
  <si>
    <t>2021.08.17</t>
  </si>
  <si>
    <t>Sporządzenie opinii prawnej na temat trwałości projektów realizowanych w ramach Programu Operacyjnego Polska Cyfrowa 2014-2020</t>
  </si>
  <si>
    <t>Udział w szkoleniu dla 4 pracowników CPPC - "Zarządzanie zespołem-trening menadżerski" w terminie 16-17.12.2021r.</t>
  </si>
  <si>
    <t>Udział w szkoleniu dla 4 pracowników CPPC - "Przywództwo w Biznesie - jak być liderem, za którym pójdą tłumy" w terminie 4-5.11.2021</t>
  </si>
  <si>
    <t>Szkolenie online dla 5 pracowników CPPC z tematu „Doręczenia elektroniczne po 15 października 2021 roku w postępowaniach administracyjnych i egzekucyjnych”, w terminie 20.10.2021 r.</t>
  </si>
  <si>
    <t>Zakup oprogramowania Excel Merger Pro – do łączenia plików excel</t>
  </si>
  <si>
    <t>2021.10.12</t>
  </si>
  <si>
    <t>2021.10.18</t>
  </si>
  <si>
    <t>Refundacja kosztów nauki j. hiszpańskiego dla pracownika CPPC</t>
  </si>
  <si>
    <t>Szkolenie dla 1 pracownika CPPC z tematu „Agile Project Management® Foundation – dla pracownika CPPC.</t>
  </si>
  <si>
    <t>Szkolenie online z tematu „FORTIGATE – zaawansowana konfiguracja urządzenia” - udział 3 parcowników CPPC.</t>
  </si>
  <si>
    <t xml:space="preserve">Szkolenie dla 1 pracownika CPPC z tematu "Podstawy Oracle SQL" </t>
  </si>
  <si>
    <t>Szkolenie online Zarządzanie czasem i organizacja czasu pracy dla 14 pracowników CPPC</t>
  </si>
  <si>
    <t>2021.10.15</t>
  </si>
  <si>
    <t>Szkolenie online Audyt i kontrola w zamówieniach publicznych dla 10 pracowników CPPC</t>
  </si>
  <si>
    <t>Refundacja kosztów szkolenia z zakresu optymalizacji strony www. Szkolenie odbędzie się w formie on-line w dniach 16 – 17 listopada 2021 r.</t>
  </si>
  <si>
    <t>Szkolenie 4 pracowników CPPC dotyczące zamknięcia roku 2021 – prawidłowe sporządzenie informacji dodatkowej, zmiany w rachunkowości, sprawozdawczości i klasyfikacji budżetowej.</t>
  </si>
  <si>
    <t>Udział w szkoleniu stacjonarnym dla 4 pracowników CPPC z tematu: „Trening Asertywności w Pracy i Biznesie”</t>
  </si>
  <si>
    <t>Udział w szkoleniu stacjonarnym dla 4 pracowników CPPC z tematu „Inteligencja Emocjonalna i Automotywacja - Zarządzanie Emocjami”</t>
  </si>
  <si>
    <t>Udział w szkoleniu dla 20 pracowników CPPC pt. "Zarządzanie czasem - work - life balance</t>
  </si>
  <si>
    <t>2021.10.25</t>
  </si>
  <si>
    <t>Udział w szkoleniu dla 2 pracowników CPPC z zakresu PRINCE2® 6th edition Foundation - szkolenie akredytowane.</t>
  </si>
  <si>
    <t>Szkolenie dla 4 pracowników CPPC z tematu "Rozliczanie wydatków w projektach UNIJNYCH metodami uproszczonymi - STAWKI JEDNOSTKOWE, STAWKI RYCZAŁTOWE, KWOTY RYCZAŁTOWE"</t>
  </si>
  <si>
    <t>2021.11.16</t>
  </si>
  <si>
    <t>Zakup akcesoriów komórkowych do sprzętu dostarczonego do CPPC.</t>
  </si>
  <si>
    <t>2021.11.29</t>
  </si>
  <si>
    <t>2021.11.30</t>
  </si>
  <si>
    <t>Szkolenie online dla 6 pracowników CPPC z tematu „Wybrane materialne (nieprawidłowości i nakładanie korekt finansowych) i proceduralne aspekty z zakresu wydawania decyzji zwrotowych odnoszących się do środków europejskich”, w terminie 15-16.12.2021 r.</t>
  </si>
  <si>
    <t>Porsche Inter Auto Polska Sp. z o.o., SKP NAGRABA DAWID NAGRABA</t>
  </si>
  <si>
    <t>Polski Instytut Rozwoju sp. z o.o. s. k.</t>
  </si>
  <si>
    <t>Polskie Towarzystwo Ewaluacyjne</t>
  </si>
  <si>
    <t>Systeo Michał Patoła</t>
  </si>
  <si>
    <t xml:space="preserve">Kancelaria Prawna PIERÓG &amp; Partnerzy
</t>
  </si>
  <si>
    <t>Avangate BV dba 2Checkout</t>
  </si>
  <si>
    <t>Altkom Akademia S.A.</t>
  </si>
  <si>
    <t>ADN Akademia sp. z o.o. sp.k.</t>
  </si>
  <si>
    <t>J.G.Training Jadwiga Gwoźdź</t>
  </si>
  <si>
    <t>AVENHANSEN Sp. z o.o.</t>
  </si>
  <si>
    <t>Progress Project Sp. z o.o</t>
  </si>
  <si>
    <t xml:space="preserve"> EURO-TRAINING Centrum Szkoleniowo-Doradcze Patrycja Mencfel</t>
  </si>
  <si>
    <t>Media Markt Polska Sp. z o.o. Warszawa II Sp. komandytowa</t>
  </si>
  <si>
    <t>2021.02.07</t>
  </si>
  <si>
    <t>ADN AKADEMIA Sp.z o.o. Sp.k.</t>
  </si>
  <si>
    <t>A.P.N. Promise S.A.</t>
  </si>
  <si>
    <t>Wydawnictwa Szkolne i Pedagogiczne S.A.Numer rejestrowy BDO</t>
  </si>
  <si>
    <t>Studio Językowe Językowania Eleonora Darewicka</t>
  </si>
  <si>
    <t>Wydawnictwa Szkolne i Pedagogiczne S.A.</t>
  </si>
  <si>
    <t>Pracownia Językowa Magdalena Witkowska</t>
  </si>
  <si>
    <t>Inspiro Language Academy Weronika Sokołowska</t>
  </si>
  <si>
    <t>I know IT Szymański Bojar spółka jawna</t>
  </si>
  <si>
    <t>Artefakt Sp. z o.o. Sp.k.</t>
  </si>
  <si>
    <t>Kancelaria Notarialna Bartosz Walenda</t>
  </si>
  <si>
    <t>Blasc Sp.z o.o.</t>
  </si>
  <si>
    <t>Taksówka osobowa Krzysztof Rabczuk, Mirosław Niegowski</t>
  </si>
  <si>
    <t>ENJOY Piotr Wilga; CARREFOUR HIPERMARKET, OPL Sp. z o.o. sp.k.</t>
  </si>
  <si>
    <t>CARREFOUR HIPERMARKET; Firma Handlowo Usługowa Megakuchnia Kamil Boczek; P.P.H.U. "J.R.T.W.M.-Krawqczyk sp. j.; Transgourmet Polska Sp.z o.o.; Brzezicki &amp; Siess s.c., Media Markt Polska BIS Sp. z o.o.</t>
  </si>
  <si>
    <t>Firma Handlowo Usługowa Megakuchnia Kamil Boczek, CARREFOUR HIPERMARKET; Nolia Ilona Wesołowska; Leroy-Merlin; Duka International s.a.; FIBER NOVELTY Izabela Sikora; Centrumelektroniki Arkadiusz Wlazłowski, Rafał Wlazłowski Sp.j.; Brzezicki &amp; Siess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</si>
</sst>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\ &quot;zł&quot;"/>
  </numFmts>
  <fonts count="5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4">
    <xf numFmtId="0" fontId="0" fillId="0" borderId="0"/>
    <xf numFmtId="0" fontId="17" fillId="0" borderId="0"/>
    <xf numFmtId="0" fontId="21" fillId="0" borderId="0"/>
    <xf numFmtId="0" fontId="21" fillId="0" borderId="0"/>
    <xf numFmtId="164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4" fillId="0" borderId="0"/>
    <xf numFmtId="0" fontId="21" fillId="0" borderId="0"/>
    <xf numFmtId="0" fontId="25" fillId="0" borderId="0"/>
    <xf numFmtId="0" fontId="24" fillId="0" borderId="0"/>
    <xf numFmtId="9" fontId="2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164" fontId="22" fillId="0" borderId="0" applyFont="0" applyFill="0" applyBorder="0" applyAlignment="0" applyProtection="0"/>
    <xf numFmtId="0" fontId="17" fillId="0" borderId="0"/>
    <xf numFmtId="0" fontId="17" fillId="0" borderId="0"/>
    <xf numFmtId="164" fontId="2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12" applyNumberFormat="0" applyAlignment="0" applyProtection="0"/>
    <xf numFmtId="0" fontId="36" fillId="6" borderId="13" applyNumberFormat="0" applyAlignment="0" applyProtection="0"/>
    <xf numFmtId="0" fontId="37" fillId="6" borderId="12" applyNumberFormat="0" applyAlignment="0" applyProtection="0"/>
    <xf numFmtId="0" fontId="38" fillId="0" borderId="14" applyNumberFormat="0" applyFill="0" applyAlignment="0" applyProtection="0"/>
    <xf numFmtId="0" fontId="39" fillId="7" borderId="15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3" fillId="32" borderId="0" applyNumberFormat="0" applyBorder="0" applyAlignment="0" applyProtection="0"/>
    <xf numFmtId="0" fontId="3" fillId="0" borderId="0"/>
    <xf numFmtId="0" fontId="3" fillId="8" borderId="16" applyNumberFormat="0" applyFont="0" applyAlignment="0" applyProtection="0"/>
    <xf numFmtId="0" fontId="24" fillId="0" borderId="0"/>
    <xf numFmtId="0" fontId="44" fillId="0" borderId="0"/>
    <xf numFmtId="0" fontId="2" fillId="0" borderId="0"/>
    <xf numFmtId="0" fontId="2" fillId="8" borderId="16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5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1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Fill="1"/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27" fillId="0" borderId="0" xfId="0" applyFont="1"/>
    <xf numFmtId="0" fontId="20" fillId="0" borderId="5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left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19" fillId="0" borderId="4" xfId="0" applyFont="1" applyFill="1" applyBorder="1" applyAlignment="1"/>
    <xf numFmtId="4" fontId="18" fillId="0" borderId="0" xfId="0" applyNumberFormat="1" applyFont="1" applyFill="1"/>
    <xf numFmtId="0" fontId="20" fillId="0" borderId="18" xfId="1" applyFont="1" applyFill="1" applyBorder="1" applyAlignment="1">
      <alignment horizontal="center" vertical="center" wrapText="1"/>
    </xf>
    <xf numFmtId="165" fontId="20" fillId="0" borderId="19" xfId="0" applyNumberFormat="1" applyFont="1" applyFill="1" applyBorder="1" applyAlignment="1">
      <alignment vertical="center" wrapText="1"/>
    </xf>
    <xf numFmtId="165" fontId="26" fillId="0" borderId="8" xfId="1" applyNumberFormat="1" applyFont="1" applyFill="1" applyBorder="1" applyAlignment="1">
      <alignment horizontal="right" vertical="center" wrapText="1"/>
    </xf>
    <xf numFmtId="165" fontId="1" fillId="0" borderId="0" xfId="103" applyNumberFormat="1" applyAlignment="1">
      <alignment wrapText="1"/>
    </xf>
    <xf numFmtId="0" fontId="1" fillId="0" borderId="0" xfId="103" applyAlignment="1">
      <alignment wrapText="1"/>
    </xf>
    <xf numFmtId="0" fontId="1" fillId="0" borderId="0" xfId="103" applyAlignment="1">
      <alignment horizontal="right" wrapText="1"/>
    </xf>
    <xf numFmtId="0" fontId="1" fillId="0" borderId="0" xfId="103" applyFill="1" applyAlignment="1">
      <alignment wrapText="1"/>
    </xf>
    <xf numFmtId="0" fontId="27" fillId="0" borderId="0" xfId="0" applyFont="1" applyFill="1"/>
    <xf numFmtId="0" fontId="18" fillId="0" borderId="0" xfId="0" applyFont="1" applyFill="1" applyAlignment="1">
      <alignment vertical="center" wrapText="1"/>
    </xf>
    <xf numFmtId="165" fontId="18" fillId="0" borderId="0" xfId="0" applyNumberFormat="1" applyFont="1" applyFill="1" applyAlignment="1">
      <alignment vertical="center" wrapText="1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</cellXfs>
  <cellStyles count="144">
    <cellStyle name="20% — akcent 1" xfId="62" builtinId="30" customBuiltin="1"/>
    <cellStyle name="20% — akcent 1 2" xfId="91"/>
    <cellStyle name="20% — akcent 1 3" xfId="105"/>
    <cellStyle name="20% — akcent 2" xfId="66" builtinId="34" customBuiltin="1"/>
    <cellStyle name="20% — akcent 2 2" xfId="93"/>
    <cellStyle name="20% — akcent 2 3" xfId="107"/>
    <cellStyle name="20% — akcent 3" xfId="70" builtinId="38" customBuiltin="1"/>
    <cellStyle name="20% — akcent 3 2" xfId="95"/>
    <cellStyle name="20% — akcent 3 3" xfId="109"/>
    <cellStyle name="20% — akcent 4" xfId="74" builtinId="42" customBuiltin="1"/>
    <cellStyle name="20% — akcent 4 2" xfId="97"/>
    <cellStyle name="20% — akcent 4 3" xfId="111"/>
    <cellStyle name="20% — akcent 5" xfId="78" builtinId="46" customBuiltin="1"/>
    <cellStyle name="20% — akcent 5 2" xfId="99"/>
    <cellStyle name="20% — akcent 5 3" xfId="113"/>
    <cellStyle name="20% — akcent 6" xfId="82" builtinId="50" customBuiltin="1"/>
    <cellStyle name="20% — akcent 6 2" xfId="101"/>
    <cellStyle name="20% — akcent 6 3" xfId="115"/>
    <cellStyle name="40% — akcent 1" xfId="63" builtinId="31" customBuiltin="1"/>
    <cellStyle name="40% — akcent 1 2" xfId="92"/>
    <cellStyle name="40% — akcent 1 3" xfId="106"/>
    <cellStyle name="40% — akcent 2" xfId="67" builtinId="35" customBuiltin="1"/>
    <cellStyle name="40% — akcent 2 2" xfId="94"/>
    <cellStyle name="40% — akcent 2 3" xfId="108"/>
    <cellStyle name="40% — akcent 3" xfId="71" builtinId="39" customBuiltin="1"/>
    <cellStyle name="40% — akcent 3 2" xfId="96"/>
    <cellStyle name="40% — akcent 3 3" xfId="110"/>
    <cellStyle name="40% — akcent 4" xfId="75" builtinId="43" customBuiltin="1"/>
    <cellStyle name="40% — akcent 4 2" xfId="98"/>
    <cellStyle name="40% — akcent 4 3" xfId="112"/>
    <cellStyle name="40% — akcent 5" xfId="79" builtinId="47" customBuiltin="1"/>
    <cellStyle name="40% — akcent 5 2" xfId="100"/>
    <cellStyle name="40% — akcent 5 3" xfId="114"/>
    <cellStyle name="40% — akcent 6" xfId="83" builtinId="51" customBuiltin="1"/>
    <cellStyle name="40% — akcent 6 2" xfId="102"/>
    <cellStyle name="40% — akcent 6 3" xfId="116"/>
    <cellStyle name="60% — akcent 1" xfId="64" builtinId="32" customBuiltin="1"/>
    <cellStyle name="60% — akcent 2" xfId="68" builtinId="36" customBuiltin="1"/>
    <cellStyle name="60% — akcent 3" xfId="72" builtinId="40" customBuiltin="1"/>
    <cellStyle name="60% — akcent 4" xfId="76" builtinId="44" customBuiltin="1"/>
    <cellStyle name="60% — akcent 5" xfId="80" builtinId="48" customBuiltin="1"/>
    <cellStyle name="60% — akcent 6" xfId="84" builtinId="52" customBuiltin="1"/>
    <cellStyle name="Akcent 1" xfId="61" builtinId="29" customBuiltin="1"/>
    <cellStyle name="Akcent 2" xfId="65" builtinId="33" customBuiltin="1"/>
    <cellStyle name="Akcent 3" xfId="69" builtinId="37" customBuiltin="1"/>
    <cellStyle name="Akcent 4" xfId="73" builtinId="41" customBuiltin="1"/>
    <cellStyle name="Akcent 5" xfId="77" builtinId="45" customBuiltin="1"/>
    <cellStyle name="Akcent 6" xfId="81" builtinId="49" customBuiltin="1"/>
    <cellStyle name="Dane wejściowe" xfId="53" builtinId="20" customBuiltin="1"/>
    <cellStyle name="Dane wyjściowe" xfId="54" builtinId="21" customBuiltin="1"/>
    <cellStyle name="Dobry" xfId="50" builtinId="26" customBuiltin="1"/>
    <cellStyle name="Dziesiętny 2" xfId="4"/>
    <cellStyle name="Dziesiętny 2 2" xfId="17"/>
    <cellStyle name="Dziesiętny 2 2 2" xfId="35"/>
    <cellStyle name="Dziesiętny 2 2 3" xfId="38"/>
    <cellStyle name="Dziesiętny 2 2 4" xfId="32"/>
    <cellStyle name="Dziesiętny 2 3" xfId="20"/>
    <cellStyle name="Dziesiętny 2 3 2" xfId="36"/>
    <cellStyle name="Dziesiętny 2 3 3" xfId="39"/>
    <cellStyle name="Dziesiętny 2 3 4" xfId="33"/>
    <cellStyle name="Dziesiętny 2 4" xfId="34"/>
    <cellStyle name="Dziesiętny 2 5" xfId="37"/>
    <cellStyle name="Dziesiętny 2 6" xfId="40"/>
    <cellStyle name="Dziesiętny 2 7" xfId="31"/>
    <cellStyle name="Dziesiętny 3" xfId="41"/>
    <cellStyle name="Komórka połączona" xfId="56" builtinId="24" customBuiltin="1"/>
    <cellStyle name="Komórka zaznaczona" xfId="57" builtinId="23" customBuiltin="1"/>
    <cellStyle name="Nagłówek 1" xfId="46" builtinId="16" customBuiltin="1"/>
    <cellStyle name="Nagłówek 2" xfId="47" builtinId="17" customBuiltin="1"/>
    <cellStyle name="Nagłówek 3" xfId="48" builtinId="18" customBuiltin="1"/>
    <cellStyle name="Nagłówek 4" xfId="49" builtinId="19" customBuiltin="1"/>
    <cellStyle name="Neutralny" xfId="52" builtinId="28" customBuiltin="1"/>
    <cellStyle name="Normalny" xfId="0" builtinId="0"/>
    <cellStyle name="Normalny 10" xfId="21"/>
    <cellStyle name="Normalny 11" xfId="22"/>
    <cellStyle name="Normalny 12" xfId="23"/>
    <cellStyle name="Normalny 13" xfId="24"/>
    <cellStyle name="Normalny 14" xfId="25"/>
    <cellStyle name="Normalny 15" xfId="26"/>
    <cellStyle name="Normalny 16" xfId="27"/>
    <cellStyle name="Normalny 17" xfId="28"/>
    <cellStyle name="Normalny 18" xfId="29"/>
    <cellStyle name="Normalny 19" xfId="30"/>
    <cellStyle name="Normalny 2" xfId="3"/>
    <cellStyle name="Normalny 2 2" xfId="5"/>
    <cellStyle name="Normalny 20" xfId="42"/>
    <cellStyle name="Normalny 21" xfId="43"/>
    <cellStyle name="Normalny 22" xfId="44"/>
    <cellStyle name="Normalny 23" xfId="85"/>
    <cellStyle name="Normalny 24" xfId="87"/>
    <cellStyle name="Normalny 25" xfId="88"/>
    <cellStyle name="Normalny 26" xfId="89"/>
    <cellStyle name="Normalny 27" xfId="103"/>
    <cellStyle name="Normalny 28" xfId="117"/>
    <cellStyle name="Normalny 29" xfId="118"/>
    <cellStyle name="Normalny 3" xfId="1"/>
    <cellStyle name="Normalny 3 2" xfId="6"/>
    <cellStyle name="Normalny 3 3" xfId="16"/>
    <cellStyle name="Normalny 3_Osoby Prawne - ZBIORCZO (2)" xfId="7"/>
    <cellStyle name="Normalny 30" xfId="119"/>
    <cellStyle name="Normalny 31" xfId="120"/>
    <cellStyle name="Normalny 32" xfId="121"/>
    <cellStyle name="Normalny 33" xfId="122"/>
    <cellStyle name="Normalny 34" xfId="123"/>
    <cellStyle name="Normalny 35" xfId="124"/>
    <cellStyle name="Normalny 36" xfId="125"/>
    <cellStyle name="Normalny 37" xfId="126"/>
    <cellStyle name="Normalny 38" xfId="127"/>
    <cellStyle name="Normalny 39" xfId="128"/>
    <cellStyle name="Normalny 4" xfId="8"/>
    <cellStyle name="Normalny 4 2" xfId="9"/>
    <cellStyle name="Normalny 4 3" xfId="10"/>
    <cellStyle name="Normalny 40" xfId="129"/>
    <cellStyle name="Normalny 41" xfId="130"/>
    <cellStyle name="Normalny 42" xfId="131"/>
    <cellStyle name="Normalny 43" xfId="132"/>
    <cellStyle name="Normalny 44" xfId="133"/>
    <cellStyle name="Normalny 45" xfId="134"/>
    <cellStyle name="Normalny 46" xfId="135"/>
    <cellStyle name="Normalny 47" xfId="136"/>
    <cellStyle name="Normalny 48" xfId="137"/>
    <cellStyle name="Normalny 49" xfId="138"/>
    <cellStyle name="Normalny 5" xfId="11"/>
    <cellStyle name="Normalny 50" xfId="139"/>
    <cellStyle name="Normalny 51" xfId="140"/>
    <cellStyle name="Normalny 52" xfId="141"/>
    <cellStyle name="Normalny 53" xfId="142"/>
    <cellStyle name="Normalny 54" xfId="143"/>
    <cellStyle name="Normalny 6" xfId="13"/>
    <cellStyle name="Normalny 6 2" xfId="18"/>
    <cellStyle name="Normalny 7" xfId="14"/>
    <cellStyle name="Normalny 7 2" xfId="19"/>
    <cellStyle name="Normalny 8" xfId="15"/>
    <cellStyle name="Normalny 9" xfId="2"/>
    <cellStyle name="Obliczenia" xfId="55" builtinId="22" customBuiltin="1"/>
    <cellStyle name="Procentowy 2" xfId="12"/>
    <cellStyle name="Suma" xfId="60" builtinId="25" customBuiltin="1"/>
    <cellStyle name="Tekst objaśnienia" xfId="59" builtinId="53" customBuiltin="1"/>
    <cellStyle name="Tekst ostrzeżenia" xfId="58" builtinId="11" customBuiltin="1"/>
    <cellStyle name="Tytuł" xfId="45" builtinId="15" customBuiltin="1"/>
    <cellStyle name="Uwaga 2" xfId="86"/>
    <cellStyle name="Uwaga 3" xfId="90"/>
    <cellStyle name="Uwaga 4" xfId="104"/>
    <cellStyle name="Zły" xfId="5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304800</xdr:rowOff>
    </xdr:from>
    <xdr:to>
      <xdr:col>4</xdr:col>
      <xdr:colOff>3588385</xdr:colOff>
      <xdr:row>0</xdr:row>
      <xdr:rowOff>1047750</xdr:rowOff>
    </xdr:to>
    <xdr:grpSp>
      <xdr:nvGrpSpPr>
        <xdr:cNvPr id="8" name="Grupa 7"/>
        <xdr:cNvGrpSpPr/>
      </xdr:nvGrpSpPr>
      <xdr:grpSpPr>
        <a:xfrm>
          <a:off x="2219325" y="304800"/>
          <a:ext cx="7626985" cy="742950"/>
          <a:chOff x="0" y="0"/>
          <a:chExt cx="6503035" cy="742950"/>
        </a:xfrm>
      </xdr:grpSpPr>
      <xdr:pic>
        <xdr:nvPicPr>
          <xdr:cNvPr id="9" name="Obraz 8" descr="CPPC_A.jp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53740" y="7620"/>
            <a:ext cx="1356360" cy="735330"/>
          </a:xfrm>
          <a:prstGeom prst="rect">
            <a:avLst/>
          </a:prstGeom>
        </xdr:spPr>
      </xdr:pic>
      <xdr:pic>
        <xdr:nvPicPr>
          <xdr:cNvPr id="10" name="Obraz 9" descr="UE_EFRR_rgb-1.jp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739640" y="76200"/>
            <a:ext cx="1763395" cy="572135"/>
          </a:xfrm>
          <a:prstGeom prst="rect">
            <a:avLst/>
          </a:prstGeom>
        </xdr:spPr>
      </xdr:pic>
      <xdr:pic>
        <xdr:nvPicPr>
          <xdr:cNvPr id="11" name="Obraz 10" descr="C:\Users\APOPLA~1\AppData\Local\Temp\Rar$DIa0.030\znak_barw_rp_poziom_szara_ramka_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4460" y="91440"/>
            <a:ext cx="1714500" cy="5715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Obraz 11" descr="logo_FE_Polska_Cyfrowa_rgb-1.jpg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0" y="0"/>
            <a:ext cx="1231265" cy="6953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6"/>
  <sheetViews>
    <sheetView tabSelected="1" zoomScaleNormal="100" workbookViewId="0">
      <selection activeCell="G22" sqref="G22"/>
    </sheetView>
  </sheetViews>
  <sheetFormatPr defaultRowHeight="16.5"/>
  <cols>
    <col min="1" max="1" width="6.125" style="9" customWidth="1"/>
    <col min="2" max="2" width="19.375" style="3" customWidth="1"/>
    <col min="3" max="3" width="42.75" style="2" customWidth="1"/>
    <col min="4" max="4" width="13.875" style="1" customWidth="1"/>
    <col min="5" max="5" width="55.5" style="9" customWidth="1"/>
    <col min="6" max="6" width="19.875" style="18" customWidth="1"/>
    <col min="7" max="7" width="9" style="9"/>
    <col min="8" max="8" width="12" style="9" bestFit="1" customWidth="1"/>
    <col min="9" max="9" width="9" style="9"/>
    <col min="10" max="10" width="17.875" style="9" customWidth="1"/>
    <col min="11" max="16384" width="9" style="9"/>
  </cols>
  <sheetData>
    <row r="1" spans="1:29" ht="108" customHeight="1">
      <c r="A1" s="29"/>
      <c r="B1" s="29"/>
      <c r="C1" s="29"/>
      <c r="D1" s="29"/>
      <c r="E1" s="29"/>
      <c r="F1" s="29"/>
    </row>
    <row r="2" spans="1:29" ht="25.5" customHeight="1" thickBot="1">
      <c r="A2" s="30" t="s">
        <v>19</v>
      </c>
      <c r="B2" s="30"/>
      <c r="C2" s="30"/>
      <c r="D2" s="30"/>
      <c r="E2" s="30"/>
      <c r="F2" s="17" t="s">
        <v>310</v>
      </c>
    </row>
    <row r="3" spans="1:29" s="2" customFormat="1" ht="67.5" customHeight="1">
      <c r="A3" s="4" t="s">
        <v>4</v>
      </c>
      <c r="B3" s="5" t="s">
        <v>3</v>
      </c>
      <c r="C3" s="6" t="s">
        <v>0</v>
      </c>
      <c r="D3" s="7" t="s">
        <v>2</v>
      </c>
      <c r="E3" s="6" t="s">
        <v>1</v>
      </c>
      <c r="F3" s="8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27" customFormat="1">
      <c r="A4" s="11">
        <v>1</v>
      </c>
      <c r="B4" s="12" t="s">
        <v>8</v>
      </c>
      <c r="C4" s="13" t="s">
        <v>9</v>
      </c>
      <c r="D4" s="19" t="s">
        <v>6</v>
      </c>
      <c r="E4" s="13" t="s">
        <v>20</v>
      </c>
      <c r="F4" s="20">
        <v>821.34</v>
      </c>
    </row>
    <row r="5" spans="1:29" s="27" customFormat="1" ht="30">
      <c r="A5" s="11">
        <v>2</v>
      </c>
      <c r="B5" s="12" t="s">
        <v>8</v>
      </c>
      <c r="C5" s="13" t="s">
        <v>63</v>
      </c>
      <c r="D5" s="19" t="s">
        <v>6</v>
      </c>
      <c r="E5" s="13" t="s">
        <v>64</v>
      </c>
      <c r="F5" s="20">
        <v>184.5</v>
      </c>
    </row>
    <row r="6" spans="1:29" s="27" customFormat="1" ht="30">
      <c r="A6" s="11">
        <v>3</v>
      </c>
      <c r="B6" s="12" t="s">
        <v>8</v>
      </c>
      <c r="C6" s="13" t="s">
        <v>63</v>
      </c>
      <c r="D6" s="19" t="s">
        <v>6</v>
      </c>
      <c r="E6" s="13" t="s">
        <v>65</v>
      </c>
      <c r="F6" s="20">
        <v>184.5</v>
      </c>
    </row>
    <row r="7" spans="1:29" s="27" customFormat="1" ht="60">
      <c r="A7" s="11">
        <v>4</v>
      </c>
      <c r="B7" s="12" t="s">
        <v>8</v>
      </c>
      <c r="C7" s="13" t="s">
        <v>166</v>
      </c>
      <c r="D7" s="19" t="s">
        <v>6</v>
      </c>
      <c r="E7" s="13" t="s">
        <v>165</v>
      </c>
      <c r="F7" s="20">
        <f>73.8+29.52</f>
        <v>103.32</v>
      </c>
    </row>
    <row r="8" spans="1:29" s="27" customFormat="1" ht="30">
      <c r="A8" s="11">
        <v>5</v>
      </c>
      <c r="B8" s="12" t="s">
        <v>8</v>
      </c>
      <c r="C8" s="13" t="s">
        <v>191</v>
      </c>
      <c r="D8" s="19" t="s">
        <v>6</v>
      </c>
      <c r="E8" s="13" t="s">
        <v>190</v>
      </c>
      <c r="F8" s="20">
        <f>1890+138</f>
        <v>2028</v>
      </c>
    </row>
    <row r="9" spans="1:29" s="27" customFormat="1" ht="45">
      <c r="A9" s="11">
        <v>6</v>
      </c>
      <c r="B9" s="12" t="s">
        <v>8</v>
      </c>
      <c r="C9" s="13" t="s">
        <v>402</v>
      </c>
      <c r="D9" s="19" t="s">
        <v>6</v>
      </c>
      <c r="E9" s="13" t="s">
        <v>340</v>
      </c>
      <c r="F9" s="20">
        <f>1845</f>
        <v>1845</v>
      </c>
    </row>
    <row r="10" spans="1:29" s="27" customFormat="1">
      <c r="A10" s="11">
        <v>7</v>
      </c>
      <c r="B10" s="12" t="s">
        <v>8</v>
      </c>
      <c r="C10" s="13" t="s">
        <v>403</v>
      </c>
      <c r="D10" s="19" t="s">
        <v>6</v>
      </c>
      <c r="E10" s="13" t="s">
        <v>341</v>
      </c>
      <c r="F10" s="20">
        <v>61.5</v>
      </c>
    </row>
    <row r="11" spans="1:29" s="27" customFormat="1" ht="30">
      <c r="A11" s="11">
        <v>8</v>
      </c>
      <c r="B11" s="12" t="s">
        <v>342</v>
      </c>
      <c r="C11" s="13" t="s">
        <v>404</v>
      </c>
      <c r="D11" s="19" t="s">
        <v>6</v>
      </c>
      <c r="E11" s="13" t="s">
        <v>343</v>
      </c>
      <c r="F11" s="20">
        <f>29+30.5</f>
        <v>59.5</v>
      </c>
    </row>
    <row r="12" spans="1:29" s="27" customFormat="1" ht="75">
      <c r="A12" s="11">
        <v>9</v>
      </c>
      <c r="B12" s="12" t="s">
        <v>92</v>
      </c>
      <c r="C12" s="13" t="s">
        <v>93</v>
      </c>
      <c r="D12" s="19" t="s">
        <v>105</v>
      </c>
      <c r="E12" s="13" t="s">
        <v>94</v>
      </c>
      <c r="F12" s="20">
        <f>3168.75+575.49</f>
        <v>3744.24</v>
      </c>
    </row>
    <row r="13" spans="1:29" s="27" customFormat="1" ht="45">
      <c r="A13" s="11">
        <v>10</v>
      </c>
      <c r="B13" s="12" t="s">
        <v>13</v>
      </c>
      <c r="C13" s="13" t="s">
        <v>22</v>
      </c>
      <c r="D13" s="19" t="s">
        <v>15</v>
      </c>
      <c r="E13" s="13" t="s">
        <v>14</v>
      </c>
      <c r="F13" s="20">
        <f>5.18+333.12+60.5</f>
        <v>398.8</v>
      </c>
    </row>
    <row r="14" spans="1:29" s="27" customFormat="1">
      <c r="A14" s="11">
        <v>11</v>
      </c>
      <c r="B14" s="12" t="s">
        <v>16</v>
      </c>
      <c r="C14" s="13" t="s">
        <v>10</v>
      </c>
      <c r="D14" s="19" t="s">
        <v>18</v>
      </c>
      <c r="E14" s="13" t="s">
        <v>17</v>
      </c>
      <c r="F14" s="20">
        <f>519.43+94.34+519.43+94.34+1038.86+188.68+519.43+94.34+519.43+94.34+3068.85+519.43+94.34+519.43+94.34+519.43+94.34+519.43+94.34+519.43+94.34+519.43+94.34+519.43+94.34+1038.86+188.68+519.43+94.34+519.43+94.34+519.43+94.34+519.43+94.34+1038.86+188.68+519.43+94.34+519.43+94.34+519.43+94.34+519.43+94.34+519.43+94.34+519.43+94.34+519.43+94.34+519.43+94.34+519.43+94.34</f>
        <v>21481.950000000008</v>
      </c>
    </row>
    <row r="15" spans="1:29" s="27" customFormat="1">
      <c r="A15" s="11">
        <v>12</v>
      </c>
      <c r="B15" s="12" t="s">
        <v>21</v>
      </c>
      <c r="C15" s="13" t="s">
        <v>12</v>
      </c>
      <c r="D15" s="19" t="s">
        <v>23</v>
      </c>
      <c r="E15" s="13" t="s">
        <v>11</v>
      </c>
      <c r="F15" s="20">
        <f>3780+916.54+166.46</f>
        <v>4863</v>
      </c>
    </row>
    <row r="16" spans="1:29" s="27" customFormat="1" ht="30">
      <c r="A16" s="11">
        <v>13</v>
      </c>
      <c r="B16" s="12" t="s">
        <v>25</v>
      </c>
      <c r="C16" s="13" t="s">
        <v>379</v>
      </c>
      <c r="D16" s="19" t="s">
        <v>28</v>
      </c>
      <c r="E16" s="13" t="s">
        <v>303</v>
      </c>
      <c r="F16" s="20">
        <f>2212.74+1+98</f>
        <v>2311.7399999999998</v>
      </c>
    </row>
    <row r="17" spans="1:8" s="27" customFormat="1" ht="30">
      <c r="A17" s="11">
        <v>14</v>
      </c>
      <c r="B17" s="12" t="s">
        <v>170</v>
      </c>
      <c r="C17" s="13" t="s">
        <v>405</v>
      </c>
      <c r="D17" s="19" t="s">
        <v>172</v>
      </c>
      <c r="E17" s="13" t="s">
        <v>171</v>
      </c>
      <c r="F17" s="20">
        <f>174+90.32+105.98+54.8+80.38+61.74</f>
        <v>567.22</v>
      </c>
      <c r="H17" s="28"/>
    </row>
    <row r="18" spans="1:8" s="27" customFormat="1" ht="45">
      <c r="A18" s="11">
        <v>15</v>
      </c>
      <c r="B18" s="12" t="s">
        <v>67</v>
      </c>
      <c r="C18" s="13" t="s">
        <v>80</v>
      </c>
      <c r="D18" s="19" t="s">
        <v>73</v>
      </c>
      <c r="E18" s="13" t="s">
        <v>72</v>
      </c>
      <c r="F18" s="20">
        <f>49.2+24.6+34.6+49.2+147.6</f>
        <v>305.20000000000005</v>
      </c>
    </row>
    <row r="19" spans="1:8" s="27" customFormat="1">
      <c r="A19" s="11">
        <v>16</v>
      </c>
      <c r="B19" s="12" t="s">
        <v>24</v>
      </c>
      <c r="C19" s="13" t="s">
        <v>36</v>
      </c>
      <c r="D19" s="19" t="s">
        <v>30</v>
      </c>
      <c r="E19" s="13" t="s">
        <v>29</v>
      </c>
      <c r="F19" s="20">
        <f>7.66+42.13+945.86+171.79</f>
        <v>1167.44</v>
      </c>
    </row>
    <row r="20" spans="1:8" s="27" customFormat="1" ht="45">
      <c r="A20" s="11">
        <v>17</v>
      </c>
      <c r="B20" s="12" t="s">
        <v>69</v>
      </c>
      <c r="C20" s="13" t="s">
        <v>254</v>
      </c>
      <c r="D20" s="19" t="s">
        <v>85</v>
      </c>
      <c r="E20" s="13" t="s">
        <v>84</v>
      </c>
      <c r="F20" s="20">
        <f>824.95+149.83+74.05+13.45+45.53+8.27+6666.38+1210.71+1269.85+230.15+3384.8+615.2+1825.72+331.58-6666.38-1210.71-4654.65-845.35</f>
        <v>3273.3800000000015</v>
      </c>
      <c r="H20" s="28"/>
    </row>
    <row r="21" spans="1:8" s="27" customFormat="1" ht="90">
      <c r="A21" s="11">
        <v>18</v>
      </c>
      <c r="B21" s="12" t="s">
        <v>27</v>
      </c>
      <c r="C21" s="13" t="s">
        <v>407</v>
      </c>
      <c r="D21" s="19" t="s">
        <v>32</v>
      </c>
      <c r="E21" s="13" t="s">
        <v>31</v>
      </c>
      <c r="F21" s="20">
        <f>353.6+27.98+2308.71+149+129.98+110.29+278.91+121.04+327.55+168.12+5000+140.92+7.55+2599+385.89+86</f>
        <v>12194.539999999999</v>
      </c>
    </row>
    <row r="22" spans="1:8" s="27" customFormat="1" ht="75">
      <c r="A22" s="11">
        <v>19</v>
      </c>
      <c r="B22" s="12" t="s">
        <v>151</v>
      </c>
      <c r="C22" s="13" t="s">
        <v>406</v>
      </c>
      <c r="D22" s="19" t="s">
        <v>163</v>
      </c>
      <c r="E22" s="13" t="s">
        <v>164</v>
      </c>
      <c r="F22" s="20">
        <f>292.84+30.81+419.1+655.22+700.71+1+95.52+641.91+818.57+326.8+1430.73+15.12+901.59+460.64+543.31</f>
        <v>7333.8700000000008</v>
      </c>
      <c r="H22" s="28"/>
    </row>
    <row r="23" spans="1:8" s="27" customFormat="1" ht="30">
      <c r="A23" s="11">
        <v>20</v>
      </c>
      <c r="B23" s="12" t="s">
        <v>311</v>
      </c>
      <c r="C23" s="13" t="s">
        <v>393</v>
      </c>
      <c r="D23" s="19" t="s">
        <v>392</v>
      </c>
      <c r="E23" s="13" t="s">
        <v>344</v>
      </c>
      <c r="F23" s="20">
        <f>1134.63+206.07</f>
        <v>1340.7</v>
      </c>
    </row>
    <row r="24" spans="1:8" s="27" customFormat="1" ht="30">
      <c r="A24" s="11">
        <v>21</v>
      </c>
      <c r="B24" s="12" t="s">
        <v>26</v>
      </c>
      <c r="C24" s="13" t="s">
        <v>35</v>
      </c>
      <c r="D24" s="19" t="s">
        <v>34</v>
      </c>
      <c r="E24" s="13" t="s">
        <v>33</v>
      </c>
      <c r="F24" s="20">
        <f>1007.09+182.91</f>
        <v>1190</v>
      </c>
    </row>
    <row r="25" spans="1:8" s="27" customFormat="1" ht="30">
      <c r="A25" s="11">
        <v>22</v>
      </c>
      <c r="B25" s="12" t="s">
        <v>37</v>
      </c>
      <c r="C25" s="13" t="s">
        <v>57</v>
      </c>
      <c r="D25" s="19" t="s">
        <v>45</v>
      </c>
      <c r="E25" s="13" t="s">
        <v>44</v>
      </c>
      <c r="F25" s="20">
        <f>2687.55</f>
        <v>2687.55</v>
      </c>
    </row>
    <row r="26" spans="1:8" s="27" customFormat="1" ht="45">
      <c r="A26" s="11">
        <v>23</v>
      </c>
      <c r="B26" s="12" t="s">
        <v>38</v>
      </c>
      <c r="C26" s="13" t="s">
        <v>58</v>
      </c>
      <c r="D26" s="19" t="s">
        <v>47</v>
      </c>
      <c r="E26" s="13" t="s">
        <v>46</v>
      </c>
      <c r="F26" s="20">
        <v>12979.95</v>
      </c>
    </row>
    <row r="27" spans="1:8" s="27" customFormat="1">
      <c r="A27" s="11">
        <v>24</v>
      </c>
      <c r="B27" s="12" t="s">
        <v>102</v>
      </c>
      <c r="C27" s="13" t="s">
        <v>103</v>
      </c>
      <c r="D27" s="19" t="s">
        <v>106</v>
      </c>
      <c r="E27" s="13" t="s">
        <v>104</v>
      </c>
      <c r="F27" s="20">
        <f>24542.7+4457.3</f>
        <v>29000</v>
      </c>
    </row>
    <row r="28" spans="1:8" s="27" customFormat="1" ht="30">
      <c r="A28" s="11">
        <v>25</v>
      </c>
      <c r="B28" s="12" t="s">
        <v>86</v>
      </c>
      <c r="C28" s="13" t="s">
        <v>115</v>
      </c>
      <c r="D28" s="19" t="s">
        <v>107</v>
      </c>
      <c r="E28" s="13" t="s">
        <v>11</v>
      </c>
      <c r="F28" s="20">
        <f>2538.9+461.1</f>
        <v>3000</v>
      </c>
    </row>
    <row r="29" spans="1:8" s="27" customFormat="1" ht="45">
      <c r="A29" s="11">
        <v>26</v>
      </c>
      <c r="B29" s="12" t="s">
        <v>66</v>
      </c>
      <c r="C29" s="13" t="s">
        <v>81</v>
      </c>
      <c r="D29" s="19" t="s">
        <v>75</v>
      </c>
      <c r="E29" s="13" t="s">
        <v>74</v>
      </c>
      <c r="F29" s="20">
        <v>6750</v>
      </c>
    </row>
    <row r="30" spans="1:8" s="27" customFormat="1" ht="30">
      <c r="A30" s="11">
        <v>27</v>
      </c>
      <c r="B30" s="12" t="s">
        <v>39</v>
      </c>
      <c r="C30" s="13" t="s">
        <v>59</v>
      </c>
      <c r="D30" s="19" t="s">
        <v>49</v>
      </c>
      <c r="E30" s="13" t="s">
        <v>48</v>
      </c>
      <c r="F30" s="20">
        <v>9100</v>
      </c>
    </row>
    <row r="31" spans="1:8" s="27" customFormat="1">
      <c r="A31" s="11">
        <v>28</v>
      </c>
      <c r="B31" s="12" t="s">
        <v>40</v>
      </c>
      <c r="C31" s="13" t="s">
        <v>60</v>
      </c>
      <c r="D31" s="19" t="s">
        <v>51</v>
      </c>
      <c r="E31" s="13" t="s">
        <v>50</v>
      </c>
      <c r="F31" s="20">
        <v>1897</v>
      </c>
    </row>
    <row r="32" spans="1:8" s="27" customFormat="1" ht="60">
      <c r="A32" s="11">
        <v>29</v>
      </c>
      <c r="B32" s="12" t="s">
        <v>41</v>
      </c>
      <c r="C32" s="13" t="s">
        <v>61</v>
      </c>
      <c r="D32" s="19" t="s">
        <v>53</v>
      </c>
      <c r="E32" s="13" t="s">
        <v>52</v>
      </c>
      <c r="F32" s="20">
        <f>890</f>
        <v>890</v>
      </c>
    </row>
    <row r="33" spans="1:6" s="27" customFormat="1" ht="60">
      <c r="A33" s="11">
        <v>30</v>
      </c>
      <c r="B33" s="12" t="s">
        <v>108</v>
      </c>
      <c r="C33" s="13" t="s">
        <v>109</v>
      </c>
      <c r="D33" s="19" t="s">
        <v>110</v>
      </c>
      <c r="E33" s="13" t="s">
        <v>98</v>
      </c>
      <c r="F33" s="20">
        <f>108.04+7403.39+1344.57+2031.12+368.88</f>
        <v>11255.999999999998</v>
      </c>
    </row>
    <row r="34" spans="1:6" s="27" customFormat="1" ht="30">
      <c r="A34" s="11">
        <v>31</v>
      </c>
      <c r="B34" s="12" t="s">
        <v>42</v>
      </c>
      <c r="C34" s="13" t="s">
        <v>60</v>
      </c>
      <c r="D34" s="19" t="s">
        <v>53</v>
      </c>
      <c r="E34" s="13" t="s">
        <v>54</v>
      </c>
      <c r="F34" s="20">
        <f>650</f>
        <v>650</v>
      </c>
    </row>
    <row r="35" spans="1:6" s="27" customFormat="1">
      <c r="A35" s="11">
        <v>32</v>
      </c>
      <c r="B35" s="12" t="s">
        <v>43</v>
      </c>
      <c r="C35" s="13" t="s">
        <v>62</v>
      </c>
      <c r="D35" s="19" t="s">
        <v>56</v>
      </c>
      <c r="E35" s="13" t="s">
        <v>55</v>
      </c>
      <c r="F35" s="20">
        <f>11.86+1692.6+307.4</f>
        <v>2011.8599999999997</v>
      </c>
    </row>
    <row r="36" spans="1:6" s="27" customFormat="1" ht="60">
      <c r="A36" s="11">
        <v>33</v>
      </c>
      <c r="B36" s="12" t="s">
        <v>68</v>
      </c>
      <c r="C36" s="13" t="s">
        <v>82</v>
      </c>
      <c r="D36" s="19" t="s">
        <v>77</v>
      </c>
      <c r="E36" s="13" t="s">
        <v>76</v>
      </c>
      <c r="F36" s="20">
        <f>842.06+152.94</f>
        <v>995</v>
      </c>
    </row>
    <row r="37" spans="1:6" s="27" customFormat="1" ht="30">
      <c r="A37" s="11">
        <v>34</v>
      </c>
      <c r="B37" s="12" t="s">
        <v>87</v>
      </c>
      <c r="C37" s="13" t="s">
        <v>59</v>
      </c>
      <c r="D37" s="19" t="s">
        <v>111</v>
      </c>
      <c r="E37" s="13" t="s">
        <v>88</v>
      </c>
      <c r="F37" s="20">
        <f>5500.95+999.05</f>
        <v>6500</v>
      </c>
    </row>
    <row r="38" spans="1:6" s="27" customFormat="1" ht="30">
      <c r="A38" s="11">
        <v>35</v>
      </c>
      <c r="B38" s="12" t="s">
        <v>99</v>
      </c>
      <c r="C38" s="13" t="s">
        <v>100</v>
      </c>
      <c r="D38" s="19" t="s">
        <v>112</v>
      </c>
      <c r="E38" s="13" t="s">
        <v>101</v>
      </c>
      <c r="F38" s="20">
        <f>1337.15+242.85</f>
        <v>1580</v>
      </c>
    </row>
    <row r="39" spans="1:6" s="27" customFormat="1" ht="45">
      <c r="A39" s="11">
        <v>36</v>
      </c>
      <c r="B39" s="12" t="s">
        <v>70</v>
      </c>
      <c r="C39" s="13" t="s">
        <v>293</v>
      </c>
      <c r="D39" s="19" t="s">
        <v>78</v>
      </c>
      <c r="E39" s="13" t="s">
        <v>14</v>
      </c>
      <c r="F39" s="20">
        <f>5.35+366.77+66.62+2.43+166.75+30.29+11.22+769.1+139.68+23.08+1581.65+287.26+571.2+6.15+421.33+76.52+3.28+224.87+40.85+16.89+1157.21+210.17+6.7+458.94+83.36+11499+2993.75+4.03+275.85+50.1+11.81+809.2+146.97+4.56+312.17+56.7</f>
        <v>22891.81</v>
      </c>
    </row>
    <row r="40" spans="1:6" s="27" customFormat="1" ht="30">
      <c r="A40" s="11">
        <v>37</v>
      </c>
      <c r="B40" s="12" t="s">
        <v>119</v>
      </c>
      <c r="C40" s="13" t="s">
        <v>142</v>
      </c>
      <c r="D40" s="19" t="s">
        <v>128</v>
      </c>
      <c r="E40" s="13" t="s">
        <v>125</v>
      </c>
      <c r="F40" s="20">
        <f>1740</f>
        <v>1740</v>
      </c>
    </row>
    <row r="41" spans="1:6" s="27" customFormat="1" ht="45">
      <c r="A41" s="11">
        <v>38</v>
      </c>
      <c r="B41" s="12" t="s">
        <v>89</v>
      </c>
      <c r="C41" s="13" t="s">
        <v>91</v>
      </c>
      <c r="D41" s="19" t="s">
        <v>113</v>
      </c>
      <c r="E41" s="13" t="s">
        <v>90</v>
      </c>
      <c r="F41" s="20">
        <f>23.84+1633.89+296.74</f>
        <v>1954.47</v>
      </c>
    </row>
    <row r="42" spans="1:6" s="27" customFormat="1">
      <c r="A42" s="11">
        <v>39</v>
      </c>
      <c r="B42" s="12" t="s">
        <v>122</v>
      </c>
      <c r="C42" s="13" t="s">
        <v>124</v>
      </c>
      <c r="D42" s="19" t="s">
        <v>129</v>
      </c>
      <c r="E42" s="13" t="s">
        <v>11</v>
      </c>
      <c r="F42" s="20">
        <f>2280+609.33+110.67</f>
        <v>3000</v>
      </c>
    </row>
    <row r="43" spans="1:6" s="27" customFormat="1" ht="45">
      <c r="A43" s="11">
        <v>40</v>
      </c>
      <c r="B43" s="12" t="s">
        <v>71</v>
      </c>
      <c r="C43" s="13" t="s">
        <v>83</v>
      </c>
      <c r="D43" s="19" t="s">
        <v>79</v>
      </c>
      <c r="E43" s="13" t="s">
        <v>304</v>
      </c>
      <c r="F43" s="20">
        <f>1751.84+318.16</f>
        <v>2070</v>
      </c>
    </row>
    <row r="44" spans="1:6" s="27" customFormat="1" ht="30">
      <c r="A44" s="11">
        <v>41</v>
      </c>
      <c r="B44" s="12" t="s">
        <v>187</v>
      </c>
      <c r="C44" s="13" t="s">
        <v>200</v>
      </c>
      <c r="D44" s="19" t="s">
        <v>175</v>
      </c>
      <c r="E44" s="13" t="s">
        <v>192</v>
      </c>
      <c r="F44" s="20">
        <f>1530.19+277.91</f>
        <v>1808.1000000000001</v>
      </c>
    </row>
    <row r="45" spans="1:6" s="27" customFormat="1" ht="30">
      <c r="A45" s="11">
        <v>42</v>
      </c>
      <c r="B45" s="12" t="s">
        <v>169</v>
      </c>
      <c r="C45" s="13" t="s">
        <v>184</v>
      </c>
      <c r="D45" s="19" t="s">
        <v>175</v>
      </c>
      <c r="E45" s="13" t="s">
        <v>174</v>
      </c>
      <c r="F45" s="20">
        <f>2850</f>
        <v>2850</v>
      </c>
    </row>
    <row r="46" spans="1:6" s="27" customFormat="1" ht="30">
      <c r="A46" s="11">
        <v>43</v>
      </c>
      <c r="B46" s="12" t="s">
        <v>117</v>
      </c>
      <c r="C46" s="13" t="s">
        <v>144</v>
      </c>
      <c r="D46" s="19" t="s">
        <v>127</v>
      </c>
      <c r="E46" s="13" t="s">
        <v>126</v>
      </c>
      <c r="F46" s="20">
        <f>2560</f>
        <v>2560</v>
      </c>
    </row>
    <row r="47" spans="1:6" s="27" customFormat="1" ht="30">
      <c r="A47" s="11">
        <v>44</v>
      </c>
      <c r="B47" s="12" t="s">
        <v>312</v>
      </c>
      <c r="C47" s="13" t="s">
        <v>380</v>
      </c>
      <c r="D47" s="19" t="s">
        <v>346</v>
      </c>
      <c r="E47" s="13" t="s">
        <v>345</v>
      </c>
      <c r="F47" s="20">
        <f>2538.9+461.1</f>
        <v>3000</v>
      </c>
    </row>
    <row r="48" spans="1:6" s="27" customFormat="1" ht="30">
      <c r="A48" s="11">
        <v>45</v>
      </c>
      <c r="B48" s="12" t="s">
        <v>116</v>
      </c>
      <c r="C48" s="13" t="s">
        <v>145</v>
      </c>
      <c r="D48" s="19" t="s">
        <v>130</v>
      </c>
      <c r="E48" s="13" t="s">
        <v>131</v>
      </c>
      <c r="F48" s="20">
        <f>870</f>
        <v>870</v>
      </c>
    </row>
    <row r="49" spans="1:6" s="27" customFormat="1" ht="30">
      <c r="A49" s="11">
        <v>46</v>
      </c>
      <c r="B49" s="12" t="s">
        <v>167</v>
      </c>
      <c r="C49" s="13" t="s">
        <v>182</v>
      </c>
      <c r="D49" s="19" t="s">
        <v>177</v>
      </c>
      <c r="E49" s="13" t="s">
        <v>176</v>
      </c>
      <c r="F49" s="20">
        <f>1650.63+299.78</f>
        <v>1950.41</v>
      </c>
    </row>
    <row r="50" spans="1:6" s="27" customFormat="1" ht="30">
      <c r="A50" s="11">
        <v>47</v>
      </c>
      <c r="B50" s="12" t="s">
        <v>95</v>
      </c>
      <c r="C50" s="13" t="s">
        <v>97</v>
      </c>
      <c r="D50" s="19" t="s">
        <v>114</v>
      </c>
      <c r="E50" s="13" t="s">
        <v>96</v>
      </c>
      <c r="F50" s="20">
        <f>5585.58+1014.42</f>
        <v>6600</v>
      </c>
    </row>
    <row r="51" spans="1:6" s="27" customFormat="1" ht="30">
      <c r="A51" s="11">
        <v>48</v>
      </c>
      <c r="B51" s="12" t="s">
        <v>121</v>
      </c>
      <c r="C51" s="13" t="s">
        <v>140</v>
      </c>
      <c r="D51" s="19" t="s">
        <v>133</v>
      </c>
      <c r="E51" s="13" t="s">
        <v>132</v>
      </c>
      <c r="F51" s="20">
        <f>5077.8+922.2</f>
        <v>6000</v>
      </c>
    </row>
    <row r="52" spans="1:6" s="27" customFormat="1" ht="30">
      <c r="A52" s="11">
        <v>49</v>
      </c>
      <c r="B52" s="12" t="s">
        <v>118</v>
      </c>
      <c r="C52" s="13" t="s">
        <v>143</v>
      </c>
      <c r="D52" s="19" t="s">
        <v>134</v>
      </c>
      <c r="E52" s="13" t="s">
        <v>305</v>
      </c>
      <c r="F52" s="20">
        <f>1516.56+275.44</f>
        <v>1792</v>
      </c>
    </row>
    <row r="53" spans="1:6" s="27" customFormat="1" ht="30">
      <c r="A53" s="11">
        <v>50</v>
      </c>
      <c r="B53" s="12" t="s">
        <v>120</v>
      </c>
      <c r="C53" s="13" t="s">
        <v>141</v>
      </c>
      <c r="D53" s="19" t="s">
        <v>136</v>
      </c>
      <c r="E53" s="13" t="s">
        <v>135</v>
      </c>
      <c r="F53" s="20">
        <f>2073.43+376.57</f>
        <v>2450</v>
      </c>
    </row>
    <row r="54" spans="1:6" s="27" customFormat="1" ht="60">
      <c r="A54" s="11">
        <v>51</v>
      </c>
      <c r="B54" s="12" t="s">
        <v>270</v>
      </c>
      <c r="C54" s="13" t="s">
        <v>294</v>
      </c>
      <c r="D54" s="19" t="s">
        <v>138</v>
      </c>
      <c r="E54" s="13" t="s">
        <v>280</v>
      </c>
      <c r="F54" s="20">
        <f>842.06+152.94</f>
        <v>995</v>
      </c>
    </row>
    <row r="55" spans="1:6" s="27" customFormat="1" ht="30">
      <c r="A55" s="11">
        <v>52</v>
      </c>
      <c r="B55" s="12" t="s">
        <v>147</v>
      </c>
      <c r="C55" s="13" t="s">
        <v>160</v>
      </c>
      <c r="D55" s="19" t="s">
        <v>138</v>
      </c>
      <c r="E55" s="13" t="s">
        <v>152</v>
      </c>
      <c r="F55" s="20">
        <f>700</f>
        <v>700</v>
      </c>
    </row>
    <row r="56" spans="1:6" s="27" customFormat="1" ht="30">
      <c r="A56" s="11">
        <v>53</v>
      </c>
      <c r="B56" s="12" t="s">
        <v>313</v>
      </c>
      <c r="C56" s="13" t="s">
        <v>394</v>
      </c>
      <c r="D56" s="19" t="s">
        <v>349</v>
      </c>
      <c r="E56" s="13" t="s">
        <v>348</v>
      </c>
      <c r="F56" s="20">
        <f>9647.82+1752.18</f>
        <v>11400</v>
      </c>
    </row>
    <row r="57" spans="1:6" s="27" customFormat="1" ht="30">
      <c r="A57" s="11">
        <v>54</v>
      </c>
      <c r="B57" s="12" t="s">
        <v>146</v>
      </c>
      <c r="C57" s="13" t="s">
        <v>59</v>
      </c>
      <c r="D57" s="19" t="s">
        <v>154</v>
      </c>
      <c r="E57" s="13" t="s">
        <v>153</v>
      </c>
      <c r="F57" s="20">
        <f>8039.85+1460.15</f>
        <v>9500</v>
      </c>
    </row>
    <row r="58" spans="1:6" s="27" customFormat="1" ht="45">
      <c r="A58" s="11">
        <v>55</v>
      </c>
      <c r="B58" s="12" t="s">
        <v>123</v>
      </c>
      <c r="C58" s="13" t="s">
        <v>139</v>
      </c>
      <c r="D58" s="19" t="s">
        <v>138</v>
      </c>
      <c r="E58" s="13" t="s">
        <v>137</v>
      </c>
      <c r="F58" s="20">
        <f>676.19+122.81</f>
        <v>799</v>
      </c>
    </row>
    <row r="59" spans="1:6" s="27" customFormat="1" ht="30">
      <c r="A59" s="11">
        <v>56</v>
      </c>
      <c r="B59" s="12" t="s">
        <v>148</v>
      </c>
      <c r="C59" s="13" t="s">
        <v>162</v>
      </c>
      <c r="D59" s="19" t="s">
        <v>156</v>
      </c>
      <c r="E59" s="13" t="s">
        <v>155</v>
      </c>
      <c r="F59" s="20">
        <f>432</f>
        <v>432</v>
      </c>
    </row>
    <row r="60" spans="1:6" s="27" customFormat="1">
      <c r="A60" s="11">
        <v>57</v>
      </c>
      <c r="B60" s="12" t="s">
        <v>314</v>
      </c>
      <c r="C60" s="13" t="s">
        <v>381</v>
      </c>
      <c r="D60" s="19" t="s">
        <v>156</v>
      </c>
      <c r="E60" s="13" t="s">
        <v>347</v>
      </c>
      <c r="F60" s="20">
        <f>423.15+76.85</f>
        <v>500</v>
      </c>
    </row>
    <row r="61" spans="1:6" s="27" customFormat="1" ht="45">
      <c r="A61" s="11">
        <v>58</v>
      </c>
      <c r="B61" s="12" t="s">
        <v>149</v>
      </c>
      <c r="C61" s="13" t="s">
        <v>295</v>
      </c>
      <c r="D61" s="19" t="s">
        <v>156</v>
      </c>
      <c r="E61" s="13" t="s">
        <v>157</v>
      </c>
      <c r="F61" s="20">
        <f>70+26.99+119.99+992</f>
        <v>1208.98</v>
      </c>
    </row>
    <row r="62" spans="1:6" s="27" customFormat="1">
      <c r="A62" s="11">
        <v>59</v>
      </c>
      <c r="B62" s="12" t="s">
        <v>188</v>
      </c>
      <c r="C62" s="13" t="s">
        <v>201</v>
      </c>
      <c r="D62" s="19" t="s">
        <v>194</v>
      </c>
      <c r="E62" s="13" t="s">
        <v>193</v>
      </c>
      <c r="F62" s="20">
        <f>448.85</f>
        <v>448.85</v>
      </c>
    </row>
    <row r="63" spans="1:6" s="27" customFormat="1">
      <c r="A63" s="11">
        <v>60</v>
      </c>
      <c r="B63" s="12" t="s">
        <v>271</v>
      </c>
      <c r="C63" s="13" t="s">
        <v>296</v>
      </c>
      <c r="D63" s="19" t="s">
        <v>194</v>
      </c>
      <c r="E63" s="13" t="s">
        <v>297</v>
      </c>
      <c r="F63" s="20">
        <f>3000</f>
        <v>3000</v>
      </c>
    </row>
    <row r="64" spans="1:6" s="27" customFormat="1" ht="30">
      <c r="A64" s="11">
        <v>61</v>
      </c>
      <c r="B64" s="12" t="s">
        <v>173</v>
      </c>
      <c r="C64" s="13" t="s">
        <v>181</v>
      </c>
      <c r="D64" s="19" t="s">
        <v>179</v>
      </c>
      <c r="E64" s="13" t="s">
        <v>178</v>
      </c>
      <c r="F64" s="20">
        <f>3000</f>
        <v>3000</v>
      </c>
    </row>
    <row r="65" spans="1:6" s="27" customFormat="1">
      <c r="A65" s="11">
        <v>62</v>
      </c>
      <c r="B65" s="12" t="s">
        <v>168</v>
      </c>
      <c r="C65" s="13" t="s">
        <v>183</v>
      </c>
      <c r="D65" s="19" t="s">
        <v>180</v>
      </c>
      <c r="E65" s="13" t="s">
        <v>11</v>
      </c>
      <c r="F65" s="20">
        <f>2538.9+461.1</f>
        <v>3000</v>
      </c>
    </row>
    <row r="66" spans="1:6" s="27" customFormat="1" ht="30">
      <c r="A66" s="11">
        <v>63</v>
      </c>
      <c r="B66" s="12" t="s">
        <v>237</v>
      </c>
      <c r="C66" s="13" t="s">
        <v>263</v>
      </c>
      <c r="D66" s="19" t="s">
        <v>159</v>
      </c>
      <c r="E66" s="13" t="s">
        <v>238</v>
      </c>
      <c r="F66" s="20">
        <f>6702.69+1217.31</f>
        <v>7920</v>
      </c>
    </row>
    <row r="67" spans="1:6" s="27" customFormat="1" ht="45">
      <c r="A67" s="11">
        <v>64</v>
      </c>
      <c r="B67" s="12" t="s">
        <v>150</v>
      </c>
      <c r="C67" s="13" t="s">
        <v>161</v>
      </c>
      <c r="D67" s="19" t="s">
        <v>159</v>
      </c>
      <c r="E67" s="13" t="s">
        <v>158</v>
      </c>
      <c r="F67" s="20">
        <f>1780</f>
        <v>1780</v>
      </c>
    </row>
    <row r="68" spans="1:6" s="27" customFormat="1" ht="60">
      <c r="A68" s="11">
        <v>65</v>
      </c>
      <c r="B68" s="12" t="s">
        <v>185</v>
      </c>
      <c r="C68" s="13" t="s">
        <v>161</v>
      </c>
      <c r="D68" s="19" t="s">
        <v>159</v>
      </c>
      <c r="E68" s="13" t="s">
        <v>195</v>
      </c>
      <c r="F68" s="20">
        <f>9072.33+1647.67</f>
        <v>10720</v>
      </c>
    </row>
    <row r="69" spans="1:6" s="27" customFormat="1" ht="30">
      <c r="A69" s="11">
        <v>66</v>
      </c>
      <c r="B69" s="12" t="s">
        <v>215</v>
      </c>
      <c r="C69" s="13" t="s">
        <v>255</v>
      </c>
      <c r="D69" s="19" t="s">
        <v>179</v>
      </c>
      <c r="E69" s="13" t="s">
        <v>216</v>
      </c>
      <c r="F69" s="20">
        <f>690</f>
        <v>690</v>
      </c>
    </row>
    <row r="70" spans="1:6" s="27" customFormat="1" ht="30">
      <c r="A70" s="11">
        <v>67</v>
      </c>
      <c r="B70" s="12" t="s">
        <v>225</v>
      </c>
      <c r="C70" s="13" t="s">
        <v>265</v>
      </c>
      <c r="D70" s="19" t="s">
        <v>227</v>
      </c>
      <c r="E70" s="13" t="s">
        <v>226</v>
      </c>
      <c r="F70" s="20">
        <f>5670.21+1029.79</f>
        <v>6700</v>
      </c>
    </row>
    <row r="71" spans="1:6" s="27" customFormat="1" ht="30">
      <c r="A71" s="11">
        <v>68</v>
      </c>
      <c r="B71" s="12" t="s">
        <v>186</v>
      </c>
      <c r="C71" s="13" t="s">
        <v>199</v>
      </c>
      <c r="D71" s="19" t="s">
        <v>197</v>
      </c>
      <c r="E71" s="13" t="s">
        <v>196</v>
      </c>
      <c r="F71" s="20">
        <v>2360</v>
      </c>
    </row>
    <row r="72" spans="1:6" s="27" customFormat="1" ht="30">
      <c r="A72" s="11">
        <v>69</v>
      </c>
      <c r="B72" s="12" t="s">
        <v>276</v>
      </c>
      <c r="C72" s="13" t="s">
        <v>182</v>
      </c>
      <c r="D72" s="19" t="s">
        <v>281</v>
      </c>
      <c r="E72" s="13" t="s">
        <v>282</v>
      </c>
      <c r="F72" s="20">
        <v>2031.7</v>
      </c>
    </row>
    <row r="73" spans="1:6" s="27" customFormat="1" ht="45">
      <c r="A73" s="11">
        <v>70</v>
      </c>
      <c r="B73" s="12" t="s">
        <v>239</v>
      </c>
      <c r="C73" s="13" t="s">
        <v>93</v>
      </c>
      <c r="D73" s="19" t="s">
        <v>241</v>
      </c>
      <c r="E73" s="13" t="s">
        <v>240</v>
      </c>
      <c r="F73" s="20">
        <f>1739.88+315.99</f>
        <v>2055.87</v>
      </c>
    </row>
    <row r="74" spans="1:6" s="27" customFormat="1" ht="45">
      <c r="A74" s="11">
        <v>71</v>
      </c>
      <c r="B74" s="12" t="s">
        <v>207</v>
      </c>
      <c r="C74" s="13" t="s">
        <v>252</v>
      </c>
      <c r="D74" s="19" t="s">
        <v>209</v>
      </c>
      <c r="E74" s="13" t="s">
        <v>208</v>
      </c>
      <c r="F74" s="20">
        <f>668.57+121.43</f>
        <v>790</v>
      </c>
    </row>
    <row r="75" spans="1:6" s="27" customFormat="1" ht="30">
      <c r="A75" s="11">
        <v>72</v>
      </c>
      <c r="B75" s="12" t="s">
        <v>315</v>
      </c>
      <c r="C75" s="13" t="s">
        <v>382</v>
      </c>
      <c r="D75" s="19" t="s">
        <v>351</v>
      </c>
      <c r="E75" s="13" t="s">
        <v>350</v>
      </c>
      <c r="F75" s="20">
        <f>193.58+50.42+13264.41+2409.01+3454.91+627.47</f>
        <v>19999.800000000003</v>
      </c>
    </row>
    <row r="76" spans="1:6" s="27" customFormat="1" ht="30">
      <c r="A76" s="11">
        <v>73</v>
      </c>
      <c r="B76" s="12" t="s">
        <v>189</v>
      </c>
      <c r="C76" s="13" t="s">
        <v>202</v>
      </c>
      <c r="D76" s="19" t="s">
        <v>214</v>
      </c>
      <c r="E76" s="13" t="s">
        <v>198</v>
      </c>
      <c r="F76" s="20">
        <v>560</v>
      </c>
    </row>
    <row r="77" spans="1:6" s="27" customFormat="1" ht="30">
      <c r="A77" s="11">
        <v>74</v>
      </c>
      <c r="B77" s="12" t="s">
        <v>203</v>
      </c>
      <c r="C77" s="13" t="s">
        <v>256</v>
      </c>
      <c r="D77" s="19" t="s">
        <v>214</v>
      </c>
      <c r="E77" s="13" t="s">
        <v>217</v>
      </c>
      <c r="F77" s="20">
        <f>520</f>
        <v>520</v>
      </c>
    </row>
    <row r="78" spans="1:6" s="27" customFormat="1" ht="30">
      <c r="A78" s="11">
        <v>75</v>
      </c>
      <c r="B78" s="12" t="s">
        <v>249</v>
      </c>
      <c r="C78" s="13" t="s">
        <v>256</v>
      </c>
      <c r="D78" s="19" t="s">
        <v>214</v>
      </c>
      <c r="E78" s="13" t="s">
        <v>250</v>
      </c>
      <c r="F78" s="20">
        <v>520</v>
      </c>
    </row>
    <row r="79" spans="1:6" s="27" customFormat="1" ht="30">
      <c r="A79" s="11">
        <v>76</v>
      </c>
      <c r="B79" s="12" t="s">
        <v>228</v>
      </c>
      <c r="C79" s="13" t="s">
        <v>259</v>
      </c>
      <c r="D79" s="19" t="s">
        <v>229</v>
      </c>
      <c r="E79" s="13" t="s">
        <v>174</v>
      </c>
      <c r="F79" s="20">
        <f>2411.95+438.05</f>
        <v>2850</v>
      </c>
    </row>
    <row r="80" spans="1:6" s="27" customFormat="1" ht="45">
      <c r="A80" s="11">
        <v>77</v>
      </c>
      <c r="B80" s="12" t="s">
        <v>211</v>
      </c>
      <c r="C80" s="13" t="s">
        <v>253</v>
      </c>
      <c r="D80" s="19" t="s">
        <v>213</v>
      </c>
      <c r="E80" s="13" t="s">
        <v>212</v>
      </c>
      <c r="F80" s="20">
        <f>4995.51+907.26</f>
        <v>5902.77</v>
      </c>
    </row>
    <row r="81" spans="1:6" s="27" customFormat="1" ht="45">
      <c r="A81" s="11">
        <v>78</v>
      </c>
      <c r="B81" s="12" t="s">
        <v>210</v>
      </c>
      <c r="C81" s="13" t="s">
        <v>253</v>
      </c>
      <c r="D81" s="19" t="s">
        <v>213</v>
      </c>
      <c r="E81" s="13" t="s">
        <v>212</v>
      </c>
      <c r="F81" s="20">
        <f>4995.51+907.26</f>
        <v>5902.77</v>
      </c>
    </row>
    <row r="82" spans="1:6" s="27" customFormat="1" ht="30">
      <c r="A82" s="11">
        <v>79</v>
      </c>
      <c r="B82" s="12" t="s">
        <v>204</v>
      </c>
      <c r="C82" s="13" t="s">
        <v>251</v>
      </c>
      <c r="D82" s="19" t="s">
        <v>206</v>
      </c>
      <c r="E82" s="13" t="s">
        <v>205</v>
      </c>
      <c r="F82" s="20">
        <f>3054.14+554.68</f>
        <v>3608.8199999999997</v>
      </c>
    </row>
    <row r="83" spans="1:6" s="27" customFormat="1">
      <c r="A83" s="11">
        <v>80</v>
      </c>
      <c r="B83" s="12" t="s">
        <v>218</v>
      </c>
      <c r="C83" s="13" t="s">
        <v>264</v>
      </c>
      <c r="D83" s="19" t="s">
        <v>245</v>
      </c>
      <c r="E83" s="13" t="s">
        <v>231</v>
      </c>
      <c r="F83" s="20">
        <f>2538.9+461.1</f>
        <v>3000</v>
      </c>
    </row>
    <row r="84" spans="1:6" s="27" customFormat="1" ht="45">
      <c r="A84" s="11">
        <v>81</v>
      </c>
      <c r="B84" s="12" t="s">
        <v>222</v>
      </c>
      <c r="C84" s="13" t="s">
        <v>258</v>
      </c>
      <c r="D84" s="19" t="s">
        <v>224</v>
      </c>
      <c r="E84" s="13" t="s">
        <v>223</v>
      </c>
      <c r="F84" s="20">
        <f>990+3351.34+608.66</f>
        <v>4950</v>
      </c>
    </row>
    <row r="85" spans="1:6" s="27" customFormat="1" ht="45">
      <c r="A85" s="11">
        <v>82</v>
      </c>
      <c r="B85" s="12" t="s">
        <v>321</v>
      </c>
      <c r="C85" s="13" t="s">
        <v>383</v>
      </c>
      <c r="D85" s="19" t="s">
        <v>224</v>
      </c>
      <c r="E85" s="13" t="s">
        <v>352</v>
      </c>
      <c r="F85" s="20">
        <f>10409.49+1890.51</f>
        <v>12300</v>
      </c>
    </row>
    <row r="86" spans="1:6" s="27" customFormat="1" ht="60">
      <c r="A86" s="11">
        <v>83</v>
      </c>
      <c r="B86" s="12" t="s">
        <v>219</v>
      </c>
      <c r="C86" s="13" t="s">
        <v>257</v>
      </c>
      <c r="D86" s="19" t="s">
        <v>221</v>
      </c>
      <c r="E86" s="13" t="s">
        <v>220</v>
      </c>
      <c r="F86" s="20">
        <f>1083.26+196.74</f>
        <v>1280</v>
      </c>
    </row>
    <row r="87" spans="1:6" s="27" customFormat="1" ht="45">
      <c r="A87" s="11">
        <v>84</v>
      </c>
      <c r="B87" s="12" t="s">
        <v>266</v>
      </c>
      <c r="C87" s="13" t="s">
        <v>268</v>
      </c>
      <c r="D87" s="19" t="s">
        <v>267</v>
      </c>
      <c r="E87" s="13" t="s">
        <v>306</v>
      </c>
      <c r="F87" s="20">
        <f>3564+12064.85+2191.15</f>
        <v>17820</v>
      </c>
    </row>
    <row r="88" spans="1:6" s="27" customFormat="1" ht="30">
      <c r="A88" s="11">
        <v>85</v>
      </c>
      <c r="B88" s="12" t="s">
        <v>317</v>
      </c>
      <c r="C88" s="13" t="s">
        <v>263</v>
      </c>
      <c r="D88" s="19" t="s">
        <v>267</v>
      </c>
      <c r="E88" s="13" t="s">
        <v>353</v>
      </c>
      <c r="F88" s="20">
        <f>6025.65+1094.35</f>
        <v>7120</v>
      </c>
    </row>
    <row r="89" spans="1:6" s="27" customFormat="1" ht="30">
      <c r="A89" s="11">
        <v>86</v>
      </c>
      <c r="B89" s="12" t="s">
        <v>318</v>
      </c>
      <c r="C89" s="13" t="s">
        <v>263</v>
      </c>
      <c r="D89" s="19" t="s">
        <v>267</v>
      </c>
      <c r="E89" s="13" t="s">
        <v>354</v>
      </c>
      <c r="F89" s="20">
        <f>8429.14+1530.86</f>
        <v>9960</v>
      </c>
    </row>
    <row r="90" spans="1:6" s="27" customFormat="1" ht="30">
      <c r="A90" s="11">
        <v>87</v>
      </c>
      <c r="B90" s="12" t="s">
        <v>272</v>
      </c>
      <c r="C90" s="13" t="s">
        <v>263</v>
      </c>
      <c r="D90" s="19" t="s">
        <v>267</v>
      </c>
      <c r="E90" s="13" t="s">
        <v>307</v>
      </c>
      <c r="F90" s="20">
        <f>6025.65+1094.35</f>
        <v>7120</v>
      </c>
    </row>
    <row r="91" spans="1:6" s="27" customFormat="1" ht="45">
      <c r="A91" s="11">
        <v>88</v>
      </c>
      <c r="B91" s="12" t="s">
        <v>279</v>
      </c>
      <c r="C91" s="13" t="s">
        <v>298</v>
      </c>
      <c r="D91" s="19" t="s">
        <v>284</v>
      </c>
      <c r="E91" s="13" t="s">
        <v>283</v>
      </c>
      <c r="F91" s="20">
        <v>420</v>
      </c>
    </row>
    <row r="92" spans="1:6" s="27" customFormat="1">
      <c r="A92" s="11">
        <v>89</v>
      </c>
      <c r="B92" s="12" t="s">
        <v>335</v>
      </c>
      <c r="C92" s="13" t="s">
        <v>396</v>
      </c>
      <c r="D92" s="19" t="s">
        <v>267</v>
      </c>
      <c r="E92" s="13" t="s">
        <v>231</v>
      </c>
      <c r="F92" s="20">
        <f>2538.9+461.1</f>
        <v>3000</v>
      </c>
    </row>
    <row r="93" spans="1:6" s="27" customFormat="1" ht="30">
      <c r="A93" s="11">
        <v>90</v>
      </c>
      <c r="B93" s="12" t="s">
        <v>336</v>
      </c>
      <c r="C93" s="13" t="s">
        <v>395</v>
      </c>
      <c r="D93" s="19" t="s">
        <v>232</v>
      </c>
      <c r="E93" s="13" t="s">
        <v>231</v>
      </c>
      <c r="F93" s="20">
        <f>677.04+122.96+1861.86+338.14</f>
        <v>2999.9999999999995</v>
      </c>
    </row>
    <row r="94" spans="1:6" s="27" customFormat="1">
      <c r="A94" s="11">
        <v>91</v>
      </c>
      <c r="B94" s="12" t="s">
        <v>234</v>
      </c>
      <c r="C94" s="13" t="s">
        <v>262</v>
      </c>
      <c r="D94" s="19" t="s">
        <v>159</v>
      </c>
      <c r="E94" s="13" t="s">
        <v>231</v>
      </c>
      <c r="F94" s="20">
        <f>2538.9+461.1</f>
        <v>3000</v>
      </c>
    </row>
    <row r="95" spans="1:6" s="27" customFormat="1">
      <c r="A95" s="11">
        <v>92</v>
      </c>
      <c r="B95" s="12" t="s">
        <v>230</v>
      </c>
      <c r="C95" s="13" t="s">
        <v>260</v>
      </c>
      <c r="D95" s="19" t="s">
        <v>232</v>
      </c>
      <c r="E95" s="13" t="s">
        <v>231</v>
      </c>
      <c r="F95" s="20">
        <f>2538.9+461.1</f>
        <v>3000</v>
      </c>
    </row>
    <row r="96" spans="1:6" s="27" customFormat="1" ht="45">
      <c r="A96" s="11">
        <v>93</v>
      </c>
      <c r="B96" s="12" t="s">
        <v>333</v>
      </c>
      <c r="C96" s="13" t="s">
        <v>268</v>
      </c>
      <c r="D96" s="19" t="s">
        <v>244</v>
      </c>
      <c r="E96" s="13" t="s">
        <v>355</v>
      </c>
      <c r="F96" s="20">
        <f>2919.73+530.27</f>
        <v>3450</v>
      </c>
    </row>
    <row r="97" spans="1:6" s="27" customFormat="1">
      <c r="A97" s="11">
        <v>94</v>
      </c>
      <c r="B97" s="12" t="s">
        <v>334</v>
      </c>
      <c r="C97" s="13" t="s">
        <v>384</v>
      </c>
      <c r="D97" s="19" t="s">
        <v>357</v>
      </c>
      <c r="E97" s="13" t="s">
        <v>356</v>
      </c>
      <c r="F97" s="20">
        <f>129.88+23.59</f>
        <v>153.47</v>
      </c>
    </row>
    <row r="98" spans="1:6" s="27" customFormat="1">
      <c r="A98" s="11">
        <v>95</v>
      </c>
      <c r="B98" s="12" t="s">
        <v>338</v>
      </c>
      <c r="C98" s="13" t="s">
        <v>397</v>
      </c>
      <c r="D98" s="19" t="s">
        <v>358</v>
      </c>
      <c r="E98" s="13" t="s">
        <v>231</v>
      </c>
      <c r="F98" s="20">
        <f>2538.9+461.1</f>
        <v>3000</v>
      </c>
    </row>
    <row r="99" spans="1:6" s="27" customFormat="1" ht="60">
      <c r="A99" s="11">
        <v>96</v>
      </c>
      <c r="B99" s="12" t="s">
        <v>242</v>
      </c>
      <c r="C99" s="13" t="s">
        <v>161</v>
      </c>
      <c r="D99" s="19" t="s">
        <v>244</v>
      </c>
      <c r="E99" s="13" t="s">
        <v>243</v>
      </c>
      <c r="F99" s="20">
        <f>980</f>
        <v>980</v>
      </c>
    </row>
    <row r="100" spans="1:6" s="27" customFormat="1" ht="30">
      <c r="A100" s="11">
        <v>97</v>
      </c>
      <c r="B100" s="12" t="s">
        <v>269</v>
      </c>
      <c r="C100" s="13" t="s">
        <v>161</v>
      </c>
      <c r="D100" s="19" t="s">
        <v>244</v>
      </c>
      <c r="E100" s="13" t="s">
        <v>285</v>
      </c>
      <c r="F100" s="20">
        <v>1170</v>
      </c>
    </row>
    <row r="101" spans="1:6" s="27" customFormat="1">
      <c r="A101" s="11">
        <v>98</v>
      </c>
      <c r="B101" s="12" t="s">
        <v>316</v>
      </c>
      <c r="C101" s="13" t="s">
        <v>398</v>
      </c>
      <c r="D101" s="19" t="s">
        <v>357</v>
      </c>
      <c r="E101" s="13" t="s">
        <v>359</v>
      </c>
      <c r="F101" s="20">
        <f>2513.51+456.49</f>
        <v>2970</v>
      </c>
    </row>
    <row r="102" spans="1:6" s="27" customFormat="1">
      <c r="A102" s="11">
        <v>99</v>
      </c>
      <c r="B102" s="12" t="s">
        <v>339</v>
      </c>
      <c r="C102" s="13" t="s">
        <v>399</v>
      </c>
      <c r="D102" s="19" t="s">
        <v>357</v>
      </c>
      <c r="E102" s="13" t="s">
        <v>231</v>
      </c>
      <c r="F102" s="20">
        <f>2528.74+459.26</f>
        <v>2988</v>
      </c>
    </row>
    <row r="103" spans="1:6" s="27" customFormat="1" ht="30">
      <c r="A103" s="11">
        <v>100</v>
      </c>
      <c r="B103" s="12" t="s">
        <v>273</v>
      </c>
      <c r="C103" s="13" t="s">
        <v>299</v>
      </c>
      <c r="D103" s="19" t="s">
        <v>286</v>
      </c>
      <c r="E103" s="13" t="s">
        <v>287</v>
      </c>
      <c r="F103" s="20">
        <v>1770</v>
      </c>
    </row>
    <row r="104" spans="1:6" s="27" customFormat="1" ht="30">
      <c r="A104" s="11">
        <v>101</v>
      </c>
      <c r="B104" s="12" t="s">
        <v>322</v>
      </c>
      <c r="C104" s="13" t="s">
        <v>385</v>
      </c>
      <c r="D104" s="19" t="s">
        <v>286</v>
      </c>
      <c r="E104" s="13" t="s">
        <v>360</v>
      </c>
      <c r="F104" s="20">
        <f>1142.5+207.5</f>
        <v>1350</v>
      </c>
    </row>
    <row r="105" spans="1:6" s="27" customFormat="1" ht="30">
      <c r="A105" s="11">
        <v>102</v>
      </c>
      <c r="B105" s="12" t="s">
        <v>337</v>
      </c>
      <c r="C105" s="13" t="s">
        <v>400</v>
      </c>
      <c r="D105" s="19" t="s">
        <v>286</v>
      </c>
      <c r="E105" s="13" t="s">
        <v>361</v>
      </c>
      <c r="F105" s="20">
        <f>6093.36+1106.64</f>
        <v>7200</v>
      </c>
    </row>
    <row r="106" spans="1:6" s="27" customFormat="1">
      <c r="A106" s="11">
        <v>103</v>
      </c>
      <c r="B106" s="12" t="s">
        <v>325</v>
      </c>
      <c r="C106" s="13" t="s">
        <v>385</v>
      </c>
      <c r="D106" s="19" t="s">
        <v>358</v>
      </c>
      <c r="E106" s="13" t="s">
        <v>362</v>
      </c>
      <c r="F106" s="20">
        <f>1269.45+230.55</f>
        <v>1500</v>
      </c>
    </row>
    <row r="107" spans="1:6" s="27" customFormat="1" ht="30">
      <c r="A107" s="11">
        <v>104</v>
      </c>
      <c r="B107" s="12" t="s">
        <v>326</v>
      </c>
      <c r="C107" s="13" t="s">
        <v>386</v>
      </c>
      <c r="D107" s="19" t="s">
        <v>364</v>
      </c>
      <c r="E107" s="13" t="s">
        <v>363</v>
      </c>
      <c r="F107" s="20">
        <f>3560+7532.07+1367.93</f>
        <v>12460</v>
      </c>
    </row>
    <row r="108" spans="1:6" s="27" customFormat="1" ht="30">
      <c r="A108" s="11">
        <v>105</v>
      </c>
      <c r="B108" s="12" t="s">
        <v>327</v>
      </c>
      <c r="C108" s="13" t="s">
        <v>387</v>
      </c>
      <c r="D108" s="19" t="s">
        <v>358</v>
      </c>
      <c r="E108" s="13" t="s">
        <v>365</v>
      </c>
      <c r="F108" s="20">
        <f>2142+7251.09+1316.91</f>
        <v>10710</v>
      </c>
    </row>
    <row r="109" spans="1:6" s="27" customFormat="1" ht="45">
      <c r="A109" s="11">
        <v>106</v>
      </c>
      <c r="B109" s="12" t="s">
        <v>323</v>
      </c>
      <c r="C109" s="13" t="s">
        <v>401</v>
      </c>
      <c r="D109" s="19" t="s">
        <v>235</v>
      </c>
      <c r="E109" s="13" t="s">
        <v>366</v>
      </c>
      <c r="F109" s="20">
        <f>1014.71+184.29</f>
        <v>1199</v>
      </c>
    </row>
    <row r="110" spans="1:6" s="27" customFormat="1">
      <c r="A110" s="11">
        <v>107</v>
      </c>
      <c r="B110" s="12" t="s">
        <v>274</v>
      </c>
      <c r="C110" s="13" t="s">
        <v>300</v>
      </c>
      <c r="D110" s="19" t="s">
        <v>235</v>
      </c>
      <c r="E110" s="13" t="s">
        <v>231</v>
      </c>
      <c r="F110" s="20">
        <v>2500</v>
      </c>
    </row>
    <row r="111" spans="1:6" s="27" customFormat="1" ht="30">
      <c r="A111" s="11">
        <v>108</v>
      </c>
      <c r="B111" s="12" t="s">
        <v>275</v>
      </c>
      <c r="C111" s="13" t="s">
        <v>160</v>
      </c>
      <c r="D111" s="19" t="s">
        <v>289</v>
      </c>
      <c r="E111" s="13" t="s">
        <v>288</v>
      </c>
      <c r="F111" s="20">
        <v>990</v>
      </c>
    </row>
    <row r="112" spans="1:6" s="27" customFormat="1">
      <c r="A112" s="11">
        <v>109</v>
      </c>
      <c r="B112" s="12" t="s">
        <v>233</v>
      </c>
      <c r="C112" s="13" t="s">
        <v>261</v>
      </c>
      <c r="D112" s="19" t="s">
        <v>235</v>
      </c>
      <c r="E112" s="13" t="s">
        <v>236</v>
      </c>
      <c r="F112" s="20">
        <f>1574.4</f>
        <v>1574.4</v>
      </c>
    </row>
    <row r="113" spans="1:51" s="27" customFormat="1" ht="45">
      <c r="A113" s="11">
        <v>110</v>
      </c>
      <c r="B113" s="12" t="s">
        <v>324</v>
      </c>
      <c r="C113" s="13" t="s">
        <v>162</v>
      </c>
      <c r="D113" s="19" t="s">
        <v>235</v>
      </c>
      <c r="E113" s="13" t="s">
        <v>367</v>
      </c>
      <c r="F113" s="20">
        <f>4942.39+897.61</f>
        <v>5840</v>
      </c>
    </row>
    <row r="114" spans="1:51" s="27" customFormat="1" ht="30">
      <c r="A114" s="11">
        <v>111</v>
      </c>
      <c r="B114" s="12" t="s">
        <v>277</v>
      </c>
      <c r="C114" s="13" t="s">
        <v>301</v>
      </c>
      <c r="D114" s="19" t="s">
        <v>290</v>
      </c>
      <c r="E114" s="13" t="s">
        <v>291</v>
      </c>
      <c r="F114" s="20">
        <v>1598.38</v>
      </c>
    </row>
    <row r="115" spans="1:51" s="27" customFormat="1" ht="30">
      <c r="A115" s="11">
        <v>112</v>
      </c>
      <c r="B115" s="12" t="s">
        <v>319</v>
      </c>
      <c r="C115" s="13" t="s">
        <v>263</v>
      </c>
      <c r="D115" s="19" t="s">
        <v>290</v>
      </c>
      <c r="E115" s="13" t="s">
        <v>368</v>
      </c>
      <c r="F115" s="20">
        <f>6059.5+1100.5</f>
        <v>7160</v>
      </c>
    </row>
    <row r="116" spans="1:51" s="27" customFormat="1" ht="30">
      <c r="A116" s="11">
        <v>113</v>
      </c>
      <c r="B116" s="12" t="s">
        <v>331</v>
      </c>
      <c r="C116" s="13" t="s">
        <v>263</v>
      </c>
      <c r="D116" s="19" t="s">
        <v>290</v>
      </c>
      <c r="E116" s="13" t="s">
        <v>369</v>
      </c>
      <c r="F116" s="20">
        <f>5924.1+1075.9</f>
        <v>7000</v>
      </c>
    </row>
    <row r="117" spans="1:51" s="27" customFormat="1" ht="30">
      <c r="A117" s="11">
        <v>114</v>
      </c>
      <c r="B117" s="12" t="s">
        <v>320</v>
      </c>
      <c r="C117" s="13" t="s">
        <v>388</v>
      </c>
      <c r="D117" s="19" t="s">
        <v>371</v>
      </c>
      <c r="E117" s="13" t="s">
        <v>370</v>
      </c>
      <c r="F117" s="20">
        <f>6093.36+1106.64</f>
        <v>7200</v>
      </c>
    </row>
    <row r="118" spans="1:51" s="27" customFormat="1" ht="30">
      <c r="A118" s="11">
        <v>115</v>
      </c>
      <c r="B118" s="12" t="s">
        <v>328</v>
      </c>
      <c r="C118" s="13" t="s">
        <v>389</v>
      </c>
      <c r="D118" s="19" t="s">
        <v>248</v>
      </c>
      <c r="E118" s="13" t="s">
        <v>372</v>
      </c>
      <c r="F118" s="20">
        <f>3960.68+719.32</f>
        <v>4680</v>
      </c>
    </row>
    <row r="119" spans="1:51" s="27" customFormat="1" ht="30.75" customHeight="1">
      <c r="A119" s="11">
        <v>116</v>
      </c>
      <c r="B119" s="12" t="s">
        <v>246</v>
      </c>
      <c r="C119" s="13" t="s">
        <v>191</v>
      </c>
      <c r="D119" s="19" t="s">
        <v>248</v>
      </c>
      <c r="E119" s="13" t="s">
        <v>247</v>
      </c>
      <c r="F119" s="20">
        <f>2188.12+5895.51+5651.6+7843.97+10377.36+5310.48+5651.52+2630.88+7877.09+5500</f>
        <v>58926.53</v>
      </c>
      <c r="H119" s="28"/>
    </row>
    <row r="120" spans="1:51" s="27" customFormat="1" ht="30.75" customHeight="1">
      <c r="A120" s="11">
        <v>117</v>
      </c>
      <c r="B120" s="12" t="s">
        <v>278</v>
      </c>
      <c r="C120" s="13" t="s">
        <v>302</v>
      </c>
      <c r="D120" s="19" t="s">
        <v>292</v>
      </c>
      <c r="E120" s="13" t="s">
        <v>308</v>
      </c>
      <c r="F120" s="20">
        <f>5000</f>
        <v>5000</v>
      </c>
    </row>
    <row r="121" spans="1:51" s="27" customFormat="1" ht="45">
      <c r="A121" s="11">
        <v>118</v>
      </c>
      <c r="B121" s="12" t="s">
        <v>329</v>
      </c>
      <c r="C121" s="13" t="s">
        <v>390</v>
      </c>
      <c r="D121" s="19" t="s">
        <v>374</v>
      </c>
      <c r="E121" s="13" t="s">
        <v>373</v>
      </c>
      <c r="F121" s="20">
        <f>3689.86+670.14</f>
        <v>4360</v>
      </c>
    </row>
    <row r="122" spans="1:51" s="27" customFormat="1" ht="30">
      <c r="A122" s="11">
        <v>119</v>
      </c>
      <c r="B122" s="12" t="s">
        <v>330</v>
      </c>
      <c r="C122" s="13" t="s">
        <v>391</v>
      </c>
      <c r="D122" s="19" t="s">
        <v>376</v>
      </c>
      <c r="E122" s="13" t="s">
        <v>375</v>
      </c>
      <c r="F122" s="20">
        <f>269.7+738.08+940+921.3</f>
        <v>2869.08</v>
      </c>
    </row>
    <row r="123" spans="1:51" s="27" customFormat="1" ht="60">
      <c r="A123" s="11">
        <v>120</v>
      </c>
      <c r="B123" s="12" t="s">
        <v>332</v>
      </c>
      <c r="C123" s="13" t="s">
        <v>268</v>
      </c>
      <c r="D123" s="19" t="s">
        <v>377</v>
      </c>
      <c r="E123" s="13" t="s">
        <v>378</v>
      </c>
      <c r="F123" s="20">
        <f>1311+5547.49+1007.51</f>
        <v>7866</v>
      </c>
    </row>
    <row r="124" spans="1:51" s="3" customFormat="1" ht="17.25" thickBot="1">
      <c r="A124" s="14"/>
      <c r="B124" s="16" t="s">
        <v>7</v>
      </c>
      <c r="C124" s="15"/>
      <c r="D124" s="15"/>
      <c r="E124" s="15"/>
      <c r="F124" s="21">
        <f>SUM(F4:F123)</f>
        <v>570624.30999999994</v>
      </c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</row>
    <row r="125" spans="1:51" s="3" customFormat="1">
      <c r="A125" s="24"/>
      <c r="B125" s="25"/>
      <c r="C125" s="23"/>
      <c r="D125" s="23"/>
      <c r="E125" s="23"/>
      <c r="F125" s="22"/>
      <c r="G125" s="22"/>
      <c r="H125" s="23"/>
      <c r="I125" s="23"/>
      <c r="J125" s="23"/>
      <c r="K125" s="23"/>
      <c r="L125" s="24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</row>
    <row r="126" spans="1:51" s="3" customFormat="1" ht="17.25">
      <c r="A126" s="10" t="s">
        <v>309</v>
      </c>
      <c r="B126" s="26"/>
      <c r="C126" s="2"/>
      <c r="D126" s="1"/>
      <c r="E126" s="9"/>
      <c r="F126" s="18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</row>
  </sheetData>
  <autoFilter ref="B3:F4"/>
  <mergeCells count="2">
    <mergeCell ref="A1:F1"/>
    <mergeCell ref="A2:E2"/>
  </mergeCells>
  <pageMargins left="0.15748031496062992" right="0.15748031496062992" top="0.27559055118110237" bottom="0.31496062992125984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zamówienia</vt:lpstr>
      <vt:lpstr>zamówienia!Obszar_wydruku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akubiak</dc:creator>
  <cp:lastModifiedBy>Renata Kolczyńska</cp:lastModifiedBy>
  <cp:lastPrinted>2021-12-13T08:08:42Z</cp:lastPrinted>
  <dcterms:created xsi:type="dcterms:W3CDTF">2015-06-22T15:06:47Z</dcterms:created>
  <dcterms:modified xsi:type="dcterms:W3CDTF">2022-01-18T11:25:43Z</dcterms:modified>
</cp:coreProperties>
</file>