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/>
  <xr:revisionPtr revIDLastSave="0" documentId="13_ncr:1_{3AEBF4A4-D08B-4925-B5A2-62A9869397ED}" xr6:coauthVersionLast="36" xr6:coauthVersionMax="36" xr10:uidLastSave="{00000000-0000-0000-0000-000000000000}"/>
  <bookViews>
    <workbookView xWindow="0" yWindow="90" windowWidth="14820" windowHeight="15510" xr2:uid="{00000000-000D-0000-FFFF-FFFF00000000}"/>
  </bookViews>
  <sheets>
    <sheet name="grudzień 2022" sheetId="4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44" l="1"/>
  <c r="AA8" i="44" l="1"/>
  <c r="AA9" i="44" l="1"/>
  <c r="AA55" i="44"/>
  <c r="AA45" i="44"/>
  <c r="AA16" i="44"/>
  <c r="AA10" i="44"/>
  <c r="W51" i="44"/>
  <c r="W49" i="44"/>
  <c r="W47" i="44"/>
  <c r="X46" i="44"/>
  <c r="V46" i="44"/>
  <c r="T46" i="44"/>
  <c r="R46" i="44"/>
  <c r="Y45" i="44"/>
  <c r="W45" i="44"/>
  <c r="S45" i="44"/>
  <c r="Q45" i="44"/>
  <c r="O45" i="44"/>
  <c r="S41" i="44"/>
  <c r="S37" i="44" s="1"/>
  <c r="AA37" i="44"/>
  <c r="Y37" i="44"/>
  <c r="W37" i="44"/>
  <c r="V37" i="44"/>
  <c r="T37" i="44"/>
  <c r="R37" i="44"/>
  <c r="Q37" i="44"/>
  <c r="P37" i="44"/>
  <c r="O37" i="44"/>
  <c r="L37" i="44"/>
  <c r="F36" i="44"/>
  <c r="AA31" i="44"/>
  <c r="Y31" i="44"/>
  <c r="W31" i="44"/>
  <c r="V31" i="44"/>
  <c r="T31" i="44"/>
  <c r="S31" i="44"/>
  <c r="R31" i="44"/>
  <c r="Q31" i="44"/>
  <c r="Q16" i="44" s="1"/>
  <c r="Q27" i="44" s="1"/>
  <c r="P31" i="44"/>
  <c r="O31" i="44"/>
  <c r="M31" i="44"/>
  <c r="L31" i="44"/>
  <c r="L16" i="44" s="1"/>
  <c r="L27" i="44" s="1"/>
  <c r="F31" i="44"/>
  <c r="W27" i="44"/>
  <c r="P27" i="44"/>
  <c r="M27" i="44"/>
  <c r="D27" i="44"/>
  <c r="C27" i="44"/>
  <c r="AA27" i="44"/>
  <c r="Y16" i="44"/>
  <c r="Y27" i="44" s="1"/>
  <c r="W16" i="44"/>
  <c r="O16" i="44"/>
  <c r="O27" i="44" s="1"/>
  <c r="M16" i="44"/>
  <c r="D16" i="44"/>
  <c r="C16" i="44"/>
  <c r="Y10" i="44"/>
  <c r="W10" i="44"/>
  <c r="S10" i="44"/>
  <c r="S46" i="44" s="1"/>
  <c r="Q10" i="44"/>
  <c r="Q46" i="44" s="1"/>
  <c r="P10" i="44"/>
  <c r="P46" i="44" s="1"/>
  <c r="O10" i="44"/>
  <c r="Y9" i="44"/>
  <c r="Y55" i="44" s="1"/>
  <c r="W46" i="44"/>
  <c r="Z8" i="44"/>
  <c r="Y8" i="44"/>
  <c r="W8" i="44"/>
  <c r="V8" i="44"/>
  <c r="T8" i="44"/>
  <c r="S8" i="44"/>
  <c r="R8" i="44"/>
  <c r="Q8" i="44"/>
  <c r="P8" i="44"/>
  <c r="O8" i="44"/>
  <c r="N8" i="44"/>
  <c r="M8" i="44"/>
  <c r="L8" i="44"/>
  <c r="K8" i="44"/>
  <c r="J8" i="44"/>
  <c r="I8" i="44"/>
  <c r="H8" i="44"/>
  <c r="G8" i="44"/>
  <c r="F8" i="44"/>
  <c r="E8" i="44"/>
  <c r="D8" i="44"/>
  <c r="C8" i="44"/>
  <c r="X5" i="44"/>
  <c r="X8" i="44" s="1"/>
  <c r="S16" i="44" l="1"/>
  <c r="S27" i="44" s="1"/>
  <c r="Y46" i="44"/>
  <c r="O46" i="44"/>
  <c r="AA46" i="44"/>
  <c r="W55" i="44"/>
</calcChain>
</file>

<file path=xl/sharedStrings.xml><?xml version="1.0" encoding="utf-8"?>
<sst xmlns="http://schemas.openxmlformats.org/spreadsheetml/2006/main" count="145" uniqueCount="109">
  <si>
    <t>w tys. zł</t>
  </si>
  <si>
    <t>Lp.</t>
  </si>
  <si>
    <t>Wyszczególnienie</t>
  </si>
  <si>
    <t>Wykonanie planu finansowego FP 2006 r.</t>
  </si>
  <si>
    <t>Wykonanie planu finansowego FP 2007 r.</t>
  </si>
  <si>
    <t>Wykonanie planu finansowego FP 2008 r.</t>
  </si>
  <si>
    <t>Wykonanie planu finansowego FP 2009 r.</t>
  </si>
  <si>
    <t>Wykonanie planu finansowego FP 2010 r.</t>
  </si>
  <si>
    <t>Wykonanie planu finansowego FP 2011 r.</t>
  </si>
  <si>
    <t>Wykonanie planu finansowego FP 2012 r.</t>
  </si>
  <si>
    <t>Wykonanie planu finansowego FP 2013 r.</t>
  </si>
  <si>
    <t>Wykonanie planu finansowego FP 2014 r.</t>
  </si>
  <si>
    <t>Plan finansowy FP 2015 r.</t>
  </si>
  <si>
    <t>Wykonanie planu finansowego FP 2015 r.</t>
  </si>
  <si>
    <t>Plan finansowy FP 2016 r.</t>
  </si>
  <si>
    <t>Wykonanie planu finansowego FP za 2016 r.</t>
  </si>
  <si>
    <t>Plan finansowy FP  na 2017 r.</t>
  </si>
  <si>
    <t>Wykonanie planu finansowego FP za  12_2017 r.</t>
  </si>
  <si>
    <t>Plan finansowy FP  2018 r.</t>
  </si>
  <si>
    <t>Wykonanie planu finansowego FP za  12_2018 r.</t>
  </si>
  <si>
    <t>Plan finansowy FP  2019 r.</t>
  </si>
  <si>
    <t>3.</t>
  </si>
  <si>
    <t>4.</t>
  </si>
  <si>
    <t>5.</t>
  </si>
  <si>
    <t>Przychody, w tym:</t>
  </si>
  <si>
    <t>składki obowiązkowe</t>
  </si>
  <si>
    <t>środki z UE</t>
  </si>
  <si>
    <t>% środków z UE</t>
  </si>
  <si>
    <t>Zasiłki i świadczenia ogółem, w tym:</t>
  </si>
  <si>
    <t>1a</t>
  </si>
  <si>
    <t>zasiłki dla bezrobotnych</t>
  </si>
  <si>
    <t>1b</t>
  </si>
  <si>
    <t>zasiłki i świadczenia przedemerytalne</t>
  </si>
  <si>
    <t>1c</t>
  </si>
  <si>
    <t>jednorazowe świadczenie pieniężne dla pobierających zasiłki i świadczenie przedemerytalne</t>
  </si>
  <si>
    <t>Pracownicze Plany Kapitałowe</t>
  </si>
  <si>
    <t>Aktywne formy przeciwdziałania bezrobociu ogółem, z tego:</t>
  </si>
  <si>
    <t>3a</t>
  </si>
  <si>
    <t>powiatowe urzędy pracy, z tego:</t>
  </si>
  <si>
    <t>szkolenia</t>
  </si>
  <si>
    <t>staże</t>
  </si>
  <si>
    <t>podejmowanie działalności gospodarczej</t>
  </si>
  <si>
    <t>doposażenie stanowiska pracy</t>
  </si>
  <si>
    <t>prace interwencyjne</t>
  </si>
  <si>
    <t>roboty publiczne</t>
  </si>
  <si>
    <t>prace społecznie użyteczne</t>
  </si>
  <si>
    <t>refundacja wynagrodzeń osób do 30 r.ż.</t>
  </si>
  <si>
    <t>3b</t>
  </si>
  <si>
    <t>pozostałe wydatki na rzecz osób bezrobotnych i pozostających bez pracy, z tego:</t>
  </si>
  <si>
    <t>ustawa antykryzysowa</t>
  </si>
  <si>
    <t>Krajowy Fundusz Szkoleniowy</t>
  </si>
  <si>
    <t>środki na zadania realizowane przez BGK</t>
  </si>
  <si>
    <t>zlecanie usług agencjom zatrudnienia przez WUP</t>
  </si>
  <si>
    <t>środki dla ARP dla Stoczni Gdynia i Stoczni Szczecin + FGŚP</t>
  </si>
  <si>
    <t>3c</t>
  </si>
  <si>
    <t>pozostałe, z tego:</t>
  </si>
  <si>
    <t>refundacja wynagrodzeń młodocianych pracowników - OHP</t>
  </si>
  <si>
    <t>koszty kształcenia młodocianych - UW</t>
  </si>
  <si>
    <t>staże podyplomowe lekarzy, lekarzy dentystów, pielęgniarek i położnych - MZ</t>
  </si>
  <si>
    <t>koszty związane z koordynacją przez asystenta rodziny zadań określonych w art.. 8 ust. 2 ustawy o wsparciu kobiet w ciąży i rodzin "Za życiem"</t>
  </si>
  <si>
    <t>koszty związane z realizacją zadań w zakresie rozwoju instytucji opieki nad dziećmi w wieku do 3 lat w latach 2018-2022 - program Maluch</t>
  </si>
  <si>
    <t>koszty egzaminów potwierdzających kwalifikacje zawodowe</t>
  </si>
  <si>
    <t>Wynagrodzenia wup i pup oraz dodatki OHP ogółem</t>
  </si>
  <si>
    <t>a</t>
  </si>
  <si>
    <t>wydatki na aktywizację osób do 30 r.ż.</t>
  </si>
  <si>
    <t>-</t>
  </si>
  <si>
    <t>osoby</t>
  </si>
  <si>
    <t>b</t>
  </si>
  <si>
    <t>wydatki na aktywizację osób do 25 r.ż.</t>
  </si>
  <si>
    <t>c</t>
  </si>
  <si>
    <t>wydatki na aktywizację osób powyżej 50 r.ż.</t>
  </si>
  <si>
    <t>Wykonanie planu finansowego FP za  12_2019 r.</t>
  </si>
  <si>
    <t>Plan finansowy FP  2020 r.</t>
  </si>
  <si>
    <t>I</t>
  </si>
  <si>
    <t>II</t>
  </si>
  <si>
    <t>Wydatki (suma poz. 1-5)</t>
  </si>
  <si>
    <t>III</t>
  </si>
  <si>
    <t>Pożyczka do Funduszu Solidarnościowego</t>
  </si>
  <si>
    <t>wydatki na aktywizację długotrwale bezrobotnych</t>
  </si>
  <si>
    <t>Pożyczka do FGŚP</t>
  </si>
  <si>
    <t>Świadczenia postojowe wraz z kosztami obsługi</t>
  </si>
  <si>
    <t>inne, z tego:</t>
  </si>
  <si>
    <t>Koszty obsługi zadań w zakresie przeciwdziałania COVID-19</t>
  </si>
  <si>
    <t>Instrumenty rynku pracy dot. COVID-19 (wiersz 88. sprawozdania)</t>
  </si>
  <si>
    <t>Dodatek solidarnościowy</t>
  </si>
  <si>
    <t>Wykonanie planu finansowego FP za  12_2020 r.</t>
  </si>
  <si>
    <t>Źródło: MRPiPS-02/MRPiT-02, w roku 2009 - Rb-40</t>
  </si>
  <si>
    <r>
      <t xml:space="preserve">w </t>
    </r>
    <r>
      <rPr>
        <b/>
        <sz val="9"/>
        <color theme="1"/>
        <rFont val="Calibri"/>
        <family val="2"/>
        <charset val="238"/>
        <scheme val="minor"/>
      </rPr>
      <t>2018 r.</t>
    </r>
    <r>
      <rPr>
        <sz val="9"/>
        <color theme="1"/>
        <rFont val="Calibri"/>
        <family val="2"/>
        <charset val="238"/>
        <scheme val="minor"/>
      </rPr>
      <t xml:space="preserve"> zasiłki i świadczenia przedemerytalne były finansowane z FGŚP</t>
    </r>
  </si>
  <si>
    <r>
      <t xml:space="preserve">w </t>
    </r>
    <r>
      <rPr>
        <b/>
        <sz val="9"/>
        <color theme="1"/>
        <rFont val="Calibri"/>
        <family val="2"/>
        <charset val="238"/>
        <scheme val="minor"/>
      </rPr>
      <t>2019 r</t>
    </r>
    <r>
      <rPr>
        <sz val="9"/>
        <color theme="1"/>
        <rFont val="Calibri"/>
        <family val="2"/>
        <charset val="238"/>
        <scheme val="minor"/>
      </rPr>
      <t>. refundacja wynagrodzeń młodocianych pracowników (OHP) oraz staże podyplomowe lekarzy, lekarzy dentystów, pielęgniarek i położnych (MZ) finansowane były z FGŚP</t>
    </r>
  </si>
  <si>
    <t>Plan finansowy FP 2021 r.</t>
  </si>
  <si>
    <t>bon na zasiedlenie</t>
  </si>
  <si>
    <t>w zł</t>
  </si>
  <si>
    <t>Pozostałe zadania (wydatki fakultatywne i inwestycyjne, od 2021 wydatki na COVID-19)</t>
  </si>
  <si>
    <r>
      <t xml:space="preserve">w </t>
    </r>
    <r>
      <rPr>
        <b/>
        <sz val="9"/>
        <color theme="1"/>
        <rFont val="Calibri"/>
        <family val="2"/>
        <charset val="238"/>
        <scheme val="minor"/>
      </rPr>
      <t>2020 r</t>
    </r>
    <r>
      <rPr>
        <sz val="9"/>
        <color theme="1"/>
        <rFont val="Calibri"/>
        <family val="2"/>
        <charset val="238"/>
        <scheme val="minor"/>
      </rPr>
      <t>. refundacja wynagrodzeń młodocianych pracowników (OHP) finansowana była z FGŚP</t>
    </r>
  </si>
  <si>
    <t>Wykonanie planu finansowego FP za 12.2021</t>
  </si>
  <si>
    <t>Plan finansowy FP 2022 r.</t>
  </si>
  <si>
    <t>Koszty zadań związanych z przeciwdziałaniem COVID-19 
(od 2022 r.)</t>
  </si>
  <si>
    <t>3aa</t>
  </si>
  <si>
    <t>projekty pilotażowe w WUP (rezerwa FP)</t>
  </si>
  <si>
    <t>projekty pilotażowe w PUP (od 2021 r.)</t>
  </si>
  <si>
    <t>Środki FP przekazane w 2022 r. na Fundusz Pomocy Ukrainie</t>
  </si>
  <si>
    <t>Przychody i wydatki Funduszu Pracy zrealizowane w latach 2009-2022</t>
  </si>
  <si>
    <t>3ab</t>
  </si>
  <si>
    <t>programy aktywizacyjny dla cudzoziemców "Razem Możemy Więcej" (rezerwa FP)</t>
  </si>
  <si>
    <t>Wykonanie planu finansowego FP za 12.2022</t>
  </si>
  <si>
    <t>Wydatki ogółem (poz. II+6+7+8+9+10+11+12+13)</t>
  </si>
  <si>
    <t>Środki FP przekazane w 2022 r. na świadczenie związane z klęską na Odrze (wraz z kosztami obsługi)</t>
  </si>
  <si>
    <t>Stan środków pieniężnych na koniec grudnia 2022 r.</t>
  </si>
  <si>
    <t>dofinansowanie kosztów szkoleń lekarzy i pielęgniarek_UA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</si>
</sst>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14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1" applyFont="1" applyFill="1"/>
    <xf numFmtId="0" fontId="6" fillId="0" borderId="0" xfId="1" applyFont="1" applyFill="1" applyAlignment="1">
      <alignment horizontal="right"/>
    </xf>
    <xf numFmtId="0" fontId="7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64" fontId="7" fillId="0" borderId="1" xfId="1" applyNumberFormat="1" applyFont="1" applyFill="1" applyBorder="1"/>
    <xf numFmtId="164" fontId="7" fillId="0" borderId="1" xfId="1" applyNumberFormat="1" applyFont="1" applyFill="1" applyBorder="1" applyAlignment="1">
      <alignment vertical="center"/>
    </xf>
    <xf numFmtId="164" fontId="7" fillId="2" borderId="2" xfId="1" applyNumberFormat="1" applyFont="1" applyFill="1" applyBorder="1"/>
    <xf numFmtId="0" fontId="6" fillId="0" borderId="1" xfId="1" applyFont="1" applyFill="1" applyBorder="1" applyAlignment="1">
      <alignment horizontal="left" vertical="center" wrapText="1"/>
    </xf>
    <xf numFmtId="164" fontId="6" fillId="0" borderId="1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164" fontId="6" fillId="2" borderId="2" xfId="1" applyNumberFormat="1" applyFont="1" applyFill="1" applyBorder="1"/>
    <xf numFmtId="164" fontId="6" fillId="0" borderId="0" xfId="1" applyNumberFormat="1" applyFont="1" applyFill="1" applyBorder="1" applyAlignment="1">
      <alignment vertical="center"/>
    </xf>
    <xf numFmtId="165" fontId="6" fillId="0" borderId="1" xfId="2" applyNumberFormat="1" applyFont="1" applyFill="1" applyBorder="1"/>
    <xf numFmtId="165" fontId="6" fillId="2" borderId="2" xfId="2" applyNumberFormat="1" applyFont="1" applyFill="1" applyBorder="1"/>
    <xf numFmtId="165" fontId="6" fillId="0" borderId="1" xfId="2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/>
    </xf>
    <xf numFmtId="0" fontId="7" fillId="0" borderId="1" xfId="1" applyFont="1" applyFill="1" applyBorder="1"/>
    <xf numFmtId="164" fontId="7" fillId="0" borderId="1" xfId="1" applyNumberFormat="1" applyFont="1" applyFill="1" applyBorder="1" applyAlignment="1">
      <alignment horizontal="right" vertical="center"/>
    </xf>
    <xf numFmtId="164" fontId="5" fillId="0" borderId="0" xfId="1" applyNumberFormat="1" applyFont="1" applyFill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/>
    <xf numFmtId="164" fontId="6" fillId="0" borderId="2" xfId="1" applyNumberFormat="1" applyFont="1" applyFill="1" applyBorder="1"/>
    <xf numFmtId="0" fontId="6" fillId="0" borderId="1" xfId="1" applyFont="1" applyFill="1" applyBorder="1" applyAlignment="1">
      <alignment horizontal="center" vertical="top"/>
    </xf>
    <xf numFmtId="0" fontId="6" fillId="0" borderId="1" xfId="1" applyFont="1" applyFill="1" applyBorder="1" applyAlignment="1">
      <alignment wrapText="1"/>
    </xf>
    <xf numFmtId="164" fontId="8" fillId="0" borderId="3" xfId="3" applyNumberFormat="1" applyFont="1" applyFill="1" applyBorder="1" applyAlignment="1"/>
    <xf numFmtId="0" fontId="6" fillId="0" borderId="1" xfId="1" applyFont="1" applyFill="1" applyBorder="1" applyAlignment="1">
      <alignment horizontal="left"/>
    </xf>
    <xf numFmtId="164" fontId="8" fillId="0" borderId="5" xfId="3" applyNumberFormat="1" applyFont="1" applyFill="1" applyBorder="1" applyAlignment="1"/>
    <xf numFmtId="164" fontId="6" fillId="2" borderId="2" xfId="1" applyNumberFormat="1" applyFont="1" applyFill="1" applyBorder="1" applyAlignment="1">
      <alignment vertical="center"/>
    </xf>
    <xf numFmtId="0" fontId="6" fillId="0" borderId="1" xfId="1" applyFont="1" applyFill="1" applyBorder="1" applyAlignment="1"/>
    <xf numFmtId="164" fontId="6" fillId="0" borderId="1" xfId="1" applyNumberFormat="1" applyFont="1" applyFill="1" applyBorder="1" applyAlignment="1">
      <alignment wrapText="1"/>
    </xf>
    <xf numFmtId="164" fontId="6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vertical="center"/>
    </xf>
    <xf numFmtId="4" fontId="5" fillId="0" borderId="0" xfId="1" applyNumberFormat="1" applyFont="1" applyFill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164" fontId="6" fillId="0" borderId="6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/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164" fontId="6" fillId="0" borderId="0" xfId="1" applyNumberFormat="1" applyFont="1" applyFill="1" applyBorder="1"/>
    <xf numFmtId="164" fontId="6" fillId="2" borderId="0" xfId="1" applyNumberFormat="1" applyFont="1" applyFill="1" applyBorder="1"/>
    <xf numFmtId="0" fontId="6" fillId="0" borderId="7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right"/>
    </xf>
    <xf numFmtId="164" fontId="6" fillId="2" borderId="2" xfId="1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vertical="center"/>
    </xf>
    <xf numFmtId="3" fontId="6" fillId="0" borderId="1" xfId="1" applyNumberFormat="1" applyFont="1" applyFill="1" applyBorder="1"/>
    <xf numFmtId="3" fontId="6" fillId="0" borderId="1" xfId="1" applyNumberFormat="1" applyFont="1" applyFill="1" applyBorder="1" applyAlignment="1">
      <alignment horizontal="right"/>
    </xf>
    <xf numFmtId="3" fontId="6" fillId="2" borderId="2" xfId="1" applyNumberFormat="1" applyFont="1" applyFill="1" applyBorder="1" applyAlignment="1">
      <alignment horizontal="right"/>
    </xf>
    <xf numFmtId="3" fontId="6" fillId="0" borderId="1" xfId="1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vertical="center"/>
    </xf>
    <xf numFmtId="0" fontId="9" fillId="0" borderId="0" xfId="1" applyFont="1" applyFill="1"/>
    <xf numFmtId="0" fontId="4" fillId="0" borderId="0" xfId="1" applyFont="1" applyBorder="1" applyAlignment="1"/>
    <xf numFmtId="0" fontId="5" fillId="0" borderId="0" xfId="1" applyFont="1" applyFill="1" applyBorder="1"/>
    <xf numFmtId="0" fontId="3" fillId="0" borderId="8" xfId="1" applyFont="1" applyBorder="1" applyAlignment="1"/>
    <xf numFmtId="0" fontId="3" fillId="0" borderId="9" xfId="1" applyFont="1" applyBorder="1" applyAlignment="1"/>
    <xf numFmtId="0" fontId="10" fillId="0" borderId="0" xfId="1" applyFont="1" applyBorder="1"/>
    <xf numFmtId="164" fontId="4" fillId="0" borderId="0" xfId="1" applyNumberFormat="1" applyFont="1" applyFill="1" applyBorder="1"/>
    <xf numFmtId="0" fontId="11" fillId="0" borderId="0" xfId="1" applyFont="1" applyFill="1"/>
    <xf numFmtId="164" fontId="13" fillId="0" borderId="0" xfId="1" applyNumberFormat="1" applyFont="1" applyFill="1"/>
    <xf numFmtId="0" fontId="11" fillId="0" borderId="0" xfId="1" applyFont="1" applyFill="1" applyBorder="1"/>
    <xf numFmtId="164" fontId="6" fillId="0" borderId="7" xfId="1" applyNumberFormat="1" applyFont="1" applyFill="1" applyBorder="1" applyAlignment="1">
      <alignment vertical="center"/>
    </xf>
    <xf numFmtId="4" fontId="6" fillId="0" borderId="1" xfId="1" applyNumberFormat="1" applyFont="1" applyFill="1" applyBorder="1"/>
    <xf numFmtId="0" fontId="5" fillId="0" borderId="0" xfId="1" applyFont="1" applyFill="1" applyAlignment="1">
      <alignment horizontal="right"/>
    </xf>
    <xf numFmtId="4" fontId="7" fillId="0" borderId="1" xfId="1" applyNumberFormat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horizontal="right" vertical="center"/>
    </xf>
    <xf numFmtId="9" fontId="6" fillId="0" borderId="1" xfId="4" applyFont="1" applyFill="1" applyBorder="1" applyAlignment="1">
      <alignment vertical="center"/>
    </xf>
    <xf numFmtId="165" fontId="6" fillId="0" borderId="1" xfId="4" applyNumberFormat="1" applyFont="1" applyFill="1" applyBorder="1" applyAlignment="1">
      <alignment vertical="center"/>
    </xf>
    <xf numFmtId="0" fontId="4" fillId="0" borderId="0" xfId="1" applyFont="1" applyFill="1" applyAlignment="1">
      <alignment horizontal="center"/>
    </xf>
    <xf numFmtId="0" fontId="6" fillId="0" borderId="5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vertical="center"/>
    </xf>
    <xf numFmtId="4" fontId="6" fillId="3" borderId="1" xfId="1" applyNumberFormat="1" applyFont="1" applyFill="1" applyBorder="1" applyAlignment="1">
      <alignment vertical="center"/>
    </xf>
    <xf numFmtId="165" fontId="6" fillId="3" borderId="1" xfId="4" applyNumberFormat="1" applyFont="1" applyFill="1" applyBorder="1" applyAlignment="1">
      <alignment vertical="center"/>
    </xf>
    <xf numFmtId="4" fontId="6" fillId="3" borderId="1" xfId="1" applyNumberFormat="1" applyFont="1" applyFill="1" applyBorder="1"/>
    <xf numFmtId="4" fontId="6" fillId="3" borderId="1" xfId="1" applyNumberFormat="1" applyFont="1" applyFill="1" applyBorder="1" applyAlignment="1">
      <alignment horizontal="right" vertical="center"/>
    </xf>
    <xf numFmtId="3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4" fontId="4" fillId="3" borderId="1" xfId="1" applyNumberFormat="1" applyFont="1" applyFill="1" applyBorder="1"/>
    <xf numFmtId="0" fontId="4" fillId="0" borderId="0" xfId="1" applyFont="1" applyFill="1" applyAlignment="1">
      <alignment horizontal="center"/>
    </xf>
    <xf numFmtId="0" fontId="6" fillId="0" borderId="4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3" fillId="0" borderId="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</cellXfs>
  <cellStyles count="5">
    <cellStyle name="Normalny" xfId="0" builtinId="0"/>
    <cellStyle name="Normalny 2" xfId="1" xr:uid="{00000000-0005-0000-0000-000001000000}"/>
    <cellStyle name="Normalny_FP9000" xfId="3" xr:uid="{00000000-0005-0000-0000-000002000000}"/>
    <cellStyle name="Procentowy" xfId="4" builtinId="5"/>
    <cellStyle name="Procentowy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3"/>
  <sheetViews>
    <sheetView tabSelected="1" workbookViewId="0">
      <pane xSplit="5" ySplit="4" topLeftCell="V5" activePane="bottomRight" state="frozen"/>
      <selection pane="topRight" activeCell="F1" sqref="F1"/>
      <selection pane="bottomLeft" activeCell="A5" sqref="A5"/>
      <selection pane="bottomRight" activeCell="W55" sqref="W55"/>
    </sheetView>
  </sheetViews>
  <sheetFormatPr defaultColWidth="10.28515625" defaultRowHeight="15.75" x14ac:dyDescent="0.25"/>
  <cols>
    <col min="1" max="1" width="4.7109375" style="1" customWidth="1"/>
    <col min="2" max="2" width="49.5703125" style="1" customWidth="1"/>
    <col min="3" max="3" width="11" style="1" hidden="1" customWidth="1"/>
    <col min="4" max="5" width="12.140625" style="1" hidden="1" customWidth="1"/>
    <col min="6" max="6" width="13" style="1" customWidth="1"/>
    <col min="7" max="7" width="13.140625" style="1" customWidth="1"/>
    <col min="8" max="8" width="13" style="1" customWidth="1"/>
    <col min="9" max="9" width="13.140625" style="1" customWidth="1"/>
    <col min="10" max="10" width="12.85546875" style="1" customWidth="1"/>
    <col min="11" max="12" width="13.28515625" style="1" customWidth="1"/>
    <col min="13" max="13" width="13.42578125" style="1" customWidth="1"/>
    <col min="14" max="14" width="11.7109375" style="1" customWidth="1"/>
    <col min="15" max="15" width="13.42578125" style="1" customWidth="1"/>
    <col min="16" max="16" width="13.85546875" style="1" customWidth="1"/>
    <col min="17" max="17" width="13.28515625" style="1" customWidth="1"/>
    <col min="18" max="18" width="11.7109375" style="1" bestFit="1" customWidth="1"/>
    <col min="19" max="19" width="13" style="1" customWidth="1"/>
    <col min="20" max="20" width="12.140625" style="1" customWidth="1"/>
    <col min="21" max="21" width="13.5703125" style="1" customWidth="1"/>
    <col min="22" max="22" width="12.140625" style="1" customWidth="1"/>
    <col min="23" max="23" width="13.5703125" style="1" customWidth="1"/>
    <col min="24" max="24" width="16.85546875" style="1" bestFit="1" customWidth="1"/>
    <col min="25" max="25" width="18.42578125" style="1" bestFit="1" customWidth="1"/>
    <col min="26" max="27" width="18.42578125" style="1" customWidth="1"/>
    <col min="28" max="28" width="14.7109375" style="1" customWidth="1"/>
    <col min="29" max="31" width="10.28515625" style="1"/>
    <col min="32" max="32" width="16" style="1" customWidth="1"/>
    <col min="33" max="16384" width="10.28515625" style="1"/>
  </cols>
  <sheetData>
    <row r="1" spans="1:27" ht="16.5" customHeight="1" x14ac:dyDescent="0.25">
      <c r="A1" s="90" t="s">
        <v>101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77"/>
      <c r="Y1" s="77"/>
      <c r="Z1" s="77"/>
      <c r="AA1" s="77"/>
    </row>
    <row r="2" spans="1:27" x14ac:dyDescent="0.25">
      <c r="P2" s="2"/>
      <c r="W2" s="2" t="s">
        <v>0</v>
      </c>
      <c r="AA2" s="71" t="s">
        <v>91</v>
      </c>
    </row>
    <row r="3" spans="1:27" ht="63.7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4" t="s">
        <v>19</v>
      </c>
      <c r="T3" s="3" t="s">
        <v>20</v>
      </c>
      <c r="U3" s="3" t="s">
        <v>71</v>
      </c>
      <c r="V3" s="3" t="s">
        <v>72</v>
      </c>
      <c r="W3" s="3" t="s">
        <v>85</v>
      </c>
      <c r="X3" s="3" t="s">
        <v>89</v>
      </c>
      <c r="Y3" s="3" t="s">
        <v>94</v>
      </c>
      <c r="Z3" s="3" t="s">
        <v>95</v>
      </c>
      <c r="AA3" s="80" t="s">
        <v>104</v>
      </c>
    </row>
    <row r="4" spans="1:27" x14ac:dyDescent="0.25">
      <c r="A4" s="5">
        <v>0</v>
      </c>
      <c r="B4" s="5">
        <v>1</v>
      </c>
      <c r="C4" s="5" t="s">
        <v>21</v>
      </c>
      <c r="D4" s="5" t="s">
        <v>22</v>
      </c>
      <c r="E4" s="5" t="s">
        <v>23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  <c r="V4" s="5">
        <v>18</v>
      </c>
      <c r="W4" s="5">
        <v>19</v>
      </c>
      <c r="X4" s="5">
        <v>20</v>
      </c>
      <c r="Y4" s="5">
        <v>21</v>
      </c>
      <c r="Z4" s="5">
        <v>22</v>
      </c>
      <c r="AA4" s="81">
        <v>23</v>
      </c>
    </row>
    <row r="5" spans="1:27" x14ac:dyDescent="0.25">
      <c r="A5" s="3" t="s">
        <v>73</v>
      </c>
      <c r="B5" s="6" t="s">
        <v>24</v>
      </c>
      <c r="C5" s="7">
        <v>7513376</v>
      </c>
      <c r="D5" s="7">
        <v>8395817.5999999996</v>
      </c>
      <c r="E5" s="7">
        <v>9103330.1999999993</v>
      </c>
      <c r="F5" s="7">
        <v>10326660.6</v>
      </c>
      <c r="G5" s="7">
        <v>10971166.9</v>
      </c>
      <c r="H5" s="7">
        <v>10500756.6</v>
      </c>
      <c r="I5" s="8">
        <v>11224563.5</v>
      </c>
      <c r="J5" s="7">
        <v>10087479.6</v>
      </c>
      <c r="K5" s="7">
        <v>10939402.1</v>
      </c>
      <c r="L5" s="7">
        <v>11212975</v>
      </c>
      <c r="M5" s="7">
        <v>10843231.6</v>
      </c>
      <c r="N5" s="7">
        <v>11281243</v>
      </c>
      <c r="O5" s="7">
        <v>12138984.4</v>
      </c>
      <c r="P5" s="7">
        <v>11483053</v>
      </c>
      <c r="Q5" s="7">
        <v>13169570.1</v>
      </c>
      <c r="R5" s="7">
        <v>11877012</v>
      </c>
      <c r="S5" s="9">
        <v>14115601.6</v>
      </c>
      <c r="T5" s="8">
        <v>13104086</v>
      </c>
      <c r="U5" s="8">
        <v>14711302.4</v>
      </c>
      <c r="V5" s="8">
        <v>13226755</v>
      </c>
      <c r="W5" s="8">
        <v>37589173.200000003</v>
      </c>
      <c r="X5" s="72">
        <f>7041829*1000</f>
        <v>7041829000</v>
      </c>
      <c r="Y5" s="72">
        <v>13039176104.26</v>
      </c>
      <c r="Z5" s="72">
        <v>8463712000</v>
      </c>
      <c r="AA5" s="82">
        <v>8833255882.25</v>
      </c>
    </row>
    <row r="6" spans="1:27" x14ac:dyDescent="0.25">
      <c r="A6" s="5"/>
      <c r="B6" s="10" t="s">
        <v>25</v>
      </c>
      <c r="C6" s="11">
        <v>6711599.9000000004</v>
      </c>
      <c r="D6" s="11">
        <v>7669400.4000000004</v>
      </c>
      <c r="E6" s="11">
        <v>8766742.3000000007</v>
      </c>
      <c r="F6" s="11">
        <v>8790906.5</v>
      </c>
      <c r="G6" s="11">
        <v>8589733.1999999993</v>
      </c>
      <c r="H6" s="11">
        <v>8940774.8000000007</v>
      </c>
      <c r="I6" s="12">
        <v>9190165.1999999993</v>
      </c>
      <c r="J6" s="11">
        <v>8919666.5999999996</v>
      </c>
      <c r="K6" s="11">
        <v>9604321</v>
      </c>
      <c r="L6" s="11">
        <v>10205975</v>
      </c>
      <c r="M6" s="11">
        <v>9938184.9000000004</v>
      </c>
      <c r="N6" s="11">
        <v>10200000</v>
      </c>
      <c r="O6" s="11">
        <v>10588145.1</v>
      </c>
      <c r="P6" s="11">
        <v>10450000</v>
      </c>
      <c r="Q6" s="11">
        <v>11202372.6</v>
      </c>
      <c r="R6" s="11">
        <v>11200000</v>
      </c>
      <c r="S6" s="13">
        <v>12579226.1</v>
      </c>
      <c r="T6" s="12">
        <v>11653000</v>
      </c>
      <c r="U6" s="12">
        <v>12964805.699999999</v>
      </c>
      <c r="V6" s="12">
        <v>12100000</v>
      </c>
      <c r="W6" s="12">
        <v>11148029.199999999</v>
      </c>
      <c r="X6" s="73">
        <v>5700000000</v>
      </c>
      <c r="Y6" s="73">
        <v>6901844734.7600002</v>
      </c>
      <c r="Z6" s="73">
        <v>6400000000</v>
      </c>
      <c r="AA6" s="83">
        <v>7322767824.5799999</v>
      </c>
    </row>
    <row r="7" spans="1:27" x14ac:dyDescent="0.25">
      <c r="A7" s="5"/>
      <c r="B7" s="10" t="s">
        <v>26</v>
      </c>
      <c r="C7" s="11">
        <v>661642.4</v>
      </c>
      <c r="D7" s="11">
        <v>615923.80000000005</v>
      </c>
      <c r="E7" s="11">
        <v>189345.2</v>
      </c>
      <c r="F7" s="11">
        <v>708394.9</v>
      </c>
      <c r="G7" s="11">
        <v>1560953</v>
      </c>
      <c r="H7" s="11">
        <v>1056900.3999999999</v>
      </c>
      <c r="I7" s="12">
        <v>645523.80000000005</v>
      </c>
      <c r="J7" s="11">
        <v>831813.2</v>
      </c>
      <c r="K7" s="11">
        <v>1048844.5</v>
      </c>
      <c r="L7" s="11">
        <v>747000</v>
      </c>
      <c r="M7" s="11">
        <v>639035.4</v>
      </c>
      <c r="N7" s="11">
        <v>856243</v>
      </c>
      <c r="O7" s="11">
        <v>1290581.6000000001</v>
      </c>
      <c r="P7" s="11">
        <v>798053</v>
      </c>
      <c r="Q7" s="11">
        <v>1668068</v>
      </c>
      <c r="R7" s="11">
        <v>411012</v>
      </c>
      <c r="S7" s="13">
        <v>1145881.3999999999</v>
      </c>
      <c r="T7" s="12">
        <v>1156086</v>
      </c>
      <c r="U7" s="12">
        <v>1151885.2</v>
      </c>
      <c r="V7" s="12">
        <v>786755</v>
      </c>
      <c r="W7" s="12">
        <v>1363657.2</v>
      </c>
      <c r="X7" s="73">
        <v>1041829000</v>
      </c>
      <c r="Y7" s="73">
        <v>2101409863.4200001</v>
      </c>
      <c r="Z7" s="73">
        <v>1698712000</v>
      </c>
      <c r="AA7" s="83">
        <v>1373613523.45</v>
      </c>
    </row>
    <row r="8" spans="1:27" x14ac:dyDescent="0.25">
      <c r="A8" s="5"/>
      <c r="B8" s="10" t="s">
        <v>27</v>
      </c>
      <c r="C8" s="15">
        <f t="shared" ref="C8:T8" si="0">C7/C5</f>
        <v>8.8061931147862163E-2</v>
      </c>
      <c r="D8" s="15">
        <f t="shared" si="0"/>
        <v>7.3360788590738329E-2</v>
      </c>
      <c r="E8" s="15">
        <f t="shared" si="0"/>
        <v>2.0799553112991555E-2</v>
      </c>
      <c r="F8" s="15">
        <f t="shared" si="0"/>
        <v>6.8598642624121881E-2</v>
      </c>
      <c r="G8" s="15">
        <f t="shared" si="0"/>
        <v>0.14227775534068304</v>
      </c>
      <c r="H8" s="15">
        <f t="shared" si="0"/>
        <v>0.10064992840611123</v>
      </c>
      <c r="I8" s="15">
        <f t="shared" si="0"/>
        <v>5.7509924550740887E-2</v>
      </c>
      <c r="J8" s="15">
        <f t="shared" si="0"/>
        <v>8.2459963537373601E-2</v>
      </c>
      <c r="K8" s="15">
        <f t="shared" si="0"/>
        <v>9.5877680554406167E-2</v>
      </c>
      <c r="L8" s="15">
        <f>L7/L5</f>
        <v>6.6619251358359402E-2</v>
      </c>
      <c r="M8" s="15">
        <f t="shared" si="0"/>
        <v>5.8934035864363542E-2</v>
      </c>
      <c r="N8" s="15">
        <f t="shared" si="0"/>
        <v>7.589970360535625E-2</v>
      </c>
      <c r="O8" s="15">
        <f t="shared" si="0"/>
        <v>0.10631709848807451</v>
      </c>
      <c r="P8" s="15">
        <f t="shared" si="0"/>
        <v>6.9498329407693238E-2</v>
      </c>
      <c r="Q8" s="15">
        <f t="shared" si="0"/>
        <v>0.1266607783954922</v>
      </c>
      <c r="R8" s="15">
        <f t="shared" si="0"/>
        <v>3.4605673548195458E-2</v>
      </c>
      <c r="S8" s="16">
        <f t="shared" si="0"/>
        <v>8.1178360828772611E-2</v>
      </c>
      <c r="T8" s="17">
        <f t="shared" si="0"/>
        <v>8.8223322099687071E-2</v>
      </c>
      <c r="U8" s="17">
        <v>7.8299335346406845E-2</v>
      </c>
      <c r="V8" s="17">
        <f t="shared" ref="V8:AA8" si="1">V7/V5</f>
        <v>5.9482087632227253E-2</v>
      </c>
      <c r="W8" s="17">
        <f t="shared" si="1"/>
        <v>3.6277924836080187E-2</v>
      </c>
      <c r="X8" s="75">
        <f t="shared" si="1"/>
        <v>0.14794863663971392</v>
      </c>
      <c r="Y8" s="76">
        <f t="shared" si="1"/>
        <v>0.16116124566593232</v>
      </c>
      <c r="Z8" s="76">
        <f t="shared" si="1"/>
        <v>0.20070531700511549</v>
      </c>
      <c r="AA8" s="84">
        <f t="shared" si="1"/>
        <v>0.15550478122231351</v>
      </c>
    </row>
    <row r="9" spans="1:27" x14ac:dyDescent="0.25">
      <c r="A9" s="18" t="s">
        <v>74</v>
      </c>
      <c r="B9" s="19" t="s">
        <v>75</v>
      </c>
      <c r="C9" s="7">
        <v>5500430.5</v>
      </c>
      <c r="D9" s="7">
        <v>5367235.4000000004</v>
      </c>
      <c r="E9" s="7">
        <v>5753110.9000000004</v>
      </c>
      <c r="F9" s="7">
        <v>11245002</v>
      </c>
      <c r="G9" s="7">
        <v>12376435</v>
      </c>
      <c r="H9" s="7">
        <v>8751400</v>
      </c>
      <c r="I9" s="8">
        <v>9641307.8000000007</v>
      </c>
      <c r="J9" s="7">
        <v>11325159.5</v>
      </c>
      <c r="K9" s="7">
        <v>11099834.5</v>
      </c>
      <c r="L9" s="7">
        <v>12088065</v>
      </c>
      <c r="M9" s="7">
        <v>10931268.9</v>
      </c>
      <c r="N9" s="7">
        <v>12238065</v>
      </c>
      <c r="O9" s="7">
        <v>11052518.1</v>
      </c>
      <c r="P9" s="7">
        <v>12238065</v>
      </c>
      <c r="Q9" s="7">
        <v>10931878.5</v>
      </c>
      <c r="R9" s="7">
        <v>8211655</v>
      </c>
      <c r="S9" s="9">
        <v>7827160</v>
      </c>
      <c r="T9" s="8">
        <v>7721102</v>
      </c>
      <c r="U9" s="20">
        <v>6381215.0999999996</v>
      </c>
      <c r="V9" s="8">
        <v>9100000</v>
      </c>
      <c r="W9" s="8">
        <f>36053793.3-12212446.2</f>
        <v>23841347.099999998</v>
      </c>
      <c r="X9" s="72">
        <v>10968630000</v>
      </c>
      <c r="Y9" s="72">
        <f>13308277934.34-1323612991.12</f>
        <v>11984664943.220001</v>
      </c>
      <c r="Z9" s="72">
        <v>10165388000</v>
      </c>
      <c r="AA9" s="82">
        <f>14872045049.07-6201005000-8960130.6</f>
        <v>8662079918.4699993</v>
      </c>
    </row>
    <row r="10" spans="1:27" x14ac:dyDescent="0.25">
      <c r="A10" s="22">
        <v>1</v>
      </c>
      <c r="B10" s="23" t="s">
        <v>28</v>
      </c>
      <c r="C10" s="11">
        <v>2805403.1</v>
      </c>
      <c r="D10" s="11">
        <v>2267834.1</v>
      </c>
      <c r="E10" s="11">
        <v>1910972.1</v>
      </c>
      <c r="F10" s="11">
        <v>4504134</v>
      </c>
      <c r="G10" s="11">
        <v>5013772</v>
      </c>
      <c r="H10" s="11">
        <v>4796245.3</v>
      </c>
      <c r="I10" s="12">
        <v>5316747.3</v>
      </c>
      <c r="J10" s="11">
        <v>5957974.3999999994</v>
      </c>
      <c r="K10" s="11">
        <v>5531406.2999999998</v>
      </c>
      <c r="L10" s="11">
        <v>5969500</v>
      </c>
      <c r="M10" s="11">
        <v>5110095</v>
      </c>
      <c r="N10" s="11">
        <v>5365500</v>
      </c>
      <c r="O10" s="11">
        <f>O11+O12+94157.8+51021.7+73.7</f>
        <v>4727693</v>
      </c>
      <c r="P10" s="11">
        <f>P11+P12+110000+60000+500</f>
        <v>4970500</v>
      </c>
      <c r="Q10" s="11">
        <f>Q11+Q12+92313.4+60637.8+51.4</f>
        <v>4213971.4000000004</v>
      </c>
      <c r="R10" s="11">
        <v>1913888</v>
      </c>
      <c r="S10" s="13">
        <f>S11+S12+92763.9+58388.5+55.6</f>
        <v>1852443.4</v>
      </c>
      <c r="T10" s="12">
        <v>3402100</v>
      </c>
      <c r="U10" s="12">
        <v>3166272.7</v>
      </c>
      <c r="V10" s="12">
        <v>2905900</v>
      </c>
      <c r="W10" s="12">
        <f>W11+W12+W13+104096.1+63169.5+31.9</f>
        <v>3197029.9</v>
      </c>
      <c r="X10" s="73">
        <v>4984441000</v>
      </c>
      <c r="Y10" s="73">
        <f>Y11+Y12+121895148.11+86740437.34+39331</f>
        <v>3454762071.3500004</v>
      </c>
      <c r="Z10" s="73">
        <v>3584100000</v>
      </c>
      <c r="AA10" s="83">
        <f>AA11+AA12+109662065.33+124525013.11+34704</f>
        <v>2937438445.6500001</v>
      </c>
    </row>
    <row r="11" spans="1:27" x14ac:dyDescent="0.25">
      <c r="A11" s="22" t="s">
        <v>29</v>
      </c>
      <c r="B11" s="23" t="s">
        <v>30</v>
      </c>
      <c r="C11" s="11">
        <v>2756963</v>
      </c>
      <c r="D11" s="11">
        <v>2224734.1</v>
      </c>
      <c r="E11" s="11">
        <v>1840771.3</v>
      </c>
      <c r="F11" s="11">
        <v>2833300</v>
      </c>
      <c r="G11" s="11">
        <v>3287358.2</v>
      </c>
      <c r="H11" s="11">
        <v>3046526</v>
      </c>
      <c r="I11" s="12">
        <v>3395481.6000000001</v>
      </c>
      <c r="J11" s="11">
        <v>3667300.4</v>
      </c>
      <c r="K11" s="11">
        <v>2969417.5</v>
      </c>
      <c r="L11" s="11">
        <v>3114000</v>
      </c>
      <c r="M11" s="11">
        <v>2637917.1</v>
      </c>
      <c r="N11" s="11">
        <v>2650000</v>
      </c>
      <c r="O11" s="11">
        <v>2282444.2999999998</v>
      </c>
      <c r="P11" s="11">
        <v>2400000</v>
      </c>
      <c r="Q11" s="11">
        <v>1974970.3</v>
      </c>
      <c r="R11" s="11">
        <v>1768788</v>
      </c>
      <c r="S11" s="13">
        <v>1701235.4</v>
      </c>
      <c r="T11" s="12">
        <v>1800000</v>
      </c>
      <c r="U11" s="12">
        <v>1671454.5</v>
      </c>
      <c r="V11" s="12">
        <v>1510000</v>
      </c>
      <c r="W11" s="12">
        <v>2012672.4</v>
      </c>
      <c r="X11" s="73">
        <v>3670000000</v>
      </c>
      <c r="Y11" s="73">
        <v>2335287154.9000001</v>
      </c>
      <c r="Z11" s="73">
        <v>2480000000</v>
      </c>
      <c r="AA11" s="83">
        <v>1949728663.21</v>
      </c>
    </row>
    <row r="12" spans="1:27" x14ac:dyDescent="0.25">
      <c r="A12" s="22" t="s">
        <v>31</v>
      </c>
      <c r="B12" s="23" t="s">
        <v>32</v>
      </c>
      <c r="C12" s="11">
        <v>17820</v>
      </c>
      <c r="D12" s="11">
        <v>0</v>
      </c>
      <c r="E12" s="11">
        <v>0</v>
      </c>
      <c r="F12" s="11">
        <v>1556600</v>
      </c>
      <c r="G12" s="11">
        <v>1617723.4</v>
      </c>
      <c r="H12" s="11">
        <v>1624926</v>
      </c>
      <c r="I12" s="12">
        <v>1788334.2</v>
      </c>
      <c r="J12" s="11">
        <v>2134484.7000000002</v>
      </c>
      <c r="K12" s="11">
        <v>2405485.6</v>
      </c>
      <c r="L12" s="11">
        <v>2700000</v>
      </c>
      <c r="M12" s="11">
        <v>2320993.2999999998</v>
      </c>
      <c r="N12" s="11">
        <v>2500000</v>
      </c>
      <c r="O12" s="11">
        <v>2299995.5</v>
      </c>
      <c r="P12" s="11">
        <v>2400000</v>
      </c>
      <c r="Q12" s="11">
        <v>2085998.5</v>
      </c>
      <c r="R12" s="11">
        <v>0</v>
      </c>
      <c r="S12" s="13">
        <v>0</v>
      </c>
      <c r="T12" s="12">
        <v>1450000</v>
      </c>
      <c r="U12" s="12">
        <v>1227778.7</v>
      </c>
      <c r="V12" s="12">
        <v>1240000</v>
      </c>
      <c r="W12" s="12">
        <v>1017060</v>
      </c>
      <c r="X12" s="73">
        <v>1146341000</v>
      </c>
      <c r="Y12" s="73">
        <v>910800000</v>
      </c>
      <c r="Z12" s="73">
        <v>879000000</v>
      </c>
      <c r="AA12" s="83">
        <v>753488000</v>
      </c>
    </row>
    <row r="13" spans="1:27" x14ac:dyDescent="0.25">
      <c r="A13" s="22" t="s">
        <v>33</v>
      </c>
      <c r="B13" s="23" t="s">
        <v>34</v>
      </c>
      <c r="C13" s="11"/>
      <c r="D13" s="11"/>
      <c r="E13" s="11"/>
      <c r="F13" s="11"/>
      <c r="G13" s="11"/>
      <c r="H13" s="11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3"/>
      <c r="T13" s="12"/>
      <c r="U13" s="12">
        <v>111000</v>
      </c>
      <c r="V13" s="12"/>
      <c r="W13" s="12">
        <v>0</v>
      </c>
      <c r="X13" s="73"/>
      <c r="Y13" s="73">
        <v>0</v>
      </c>
      <c r="Z13" s="73"/>
      <c r="AA13" s="83">
        <v>0</v>
      </c>
    </row>
    <row r="14" spans="1:27" x14ac:dyDescent="0.25">
      <c r="A14" s="22">
        <v>2</v>
      </c>
      <c r="B14" s="23" t="s">
        <v>35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24"/>
      <c r="T14" s="12">
        <v>660000</v>
      </c>
      <c r="U14" s="12">
        <v>0</v>
      </c>
      <c r="V14" s="12">
        <v>420000</v>
      </c>
      <c r="W14" s="12">
        <v>270308.5</v>
      </c>
      <c r="X14" s="73">
        <v>1181000000</v>
      </c>
      <c r="Y14" s="70">
        <v>487740020</v>
      </c>
      <c r="Z14" s="70">
        <v>584000000</v>
      </c>
      <c r="AA14" s="85">
        <v>483516130</v>
      </c>
    </row>
    <row r="15" spans="1:27" x14ac:dyDescent="0.25">
      <c r="A15" s="25">
        <v>3</v>
      </c>
      <c r="B15" s="26" t="s">
        <v>36</v>
      </c>
      <c r="C15" s="11">
        <v>2067003.4</v>
      </c>
      <c r="D15" s="11">
        <v>2544593</v>
      </c>
      <c r="E15" s="11">
        <v>3362409</v>
      </c>
      <c r="F15" s="11">
        <v>6204800</v>
      </c>
      <c r="G15" s="11">
        <v>6657591</v>
      </c>
      <c r="H15" s="11">
        <v>3327606</v>
      </c>
      <c r="I15" s="11">
        <v>3889667.3</v>
      </c>
      <c r="J15" s="11">
        <v>4632954.8</v>
      </c>
      <c r="K15" s="11">
        <v>5052127.2</v>
      </c>
      <c r="L15" s="11">
        <v>5540030</v>
      </c>
      <c r="M15" s="11">
        <v>5294326.9000000004</v>
      </c>
      <c r="N15" s="11">
        <v>6240355</v>
      </c>
      <c r="O15" s="11">
        <v>5770563.5999999996</v>
      </c>
      <c r="P15" s="11">
        <v>6641482</v>
      </c>
      <c r="Q15" s="11">
        <v>6156709.2000000002</v>
      </c>
      <c r="R15" s="11">
        <v>5791127</v>
      </c>
      <c r="S15" s="13">
        <v>5501840</v>
      </c>
      <c r="T15" s="12">
        <v>3168362</v>
      </c>
      <c r="U15" s="12">
        <v>2765261.7</v>
      </c>
      <c r="V15" s="12">
        <v>5273345</v>
      </c>
      <c r="W15" s="12">
        <v>19926809.299999997</v>
      </c>
      <c r="X15" s="73">
        <v>4351402000</v>
      </c>
      <c r="Y15" s="73">
        <v>3788219991.7600002</v>
      </c>
      <c r="Z15" s="73">
        <v>5423181000</v>
      </c>
      <c r="AA15" s="83">
        <v>4842999882.8299999</v>
      </c>
    </row>
    <row r="16" spans="1:27" x14ac:dyDescent="0.25">
      <c r="A16" s="91" t="s">
        <v>37</v>
      </c>
      <c r="B16" s="23" t="s">
        <v>38</v>
      </c>
      <c r="C16" s="11">
        <f>2067003.4-151650.7</f>
        <v>1915352.7</v>
      </c>
      <c r="D16" s="11">
        <f>2544593-165007</f>
        <v>2379586</v>
      </c>
      <c r="E16" s="12">
        <v>3177376</v>
      </c>
      <c r="F16" s="12">
        <v>4132241.7</v>
      </c>
      <c r="G16" s="12">
        <v>5427195</v>
      </c>
      <c r="H16" s="12">
        <v>2058023</v>
      </c>
      <c r="I16" s="12">
        <v>2594030.7999999998</v>
      </c>
      <c r="J16" s="12">
        <v>3317856.3</v>
      </c>
      <c r="K16" s="11">
        <v>3635158.6</v>
      </c>
      <c r="L16" s="11">
        <f>L15-L31-L37</f>
        <v>3784430</v>
      </c>
      <c r="M16" s="11">
        <f>3728781.9-959</f>
        <v>3727822.9</v>
      </c>
      <c r="N16" s="11">
        <v>4368626</v>
      </c>
      <c r="O16" s="11">
        <f>O15-O31-O37</f>
        <v>4056473.2999999993</v>
      </c>
      <c r="P16" s="11">
        <v>4658649</v>
      </c>
      <c r="Q16" s="11">
        <f>Q15-Q31-Q37</f>
        <v>4298904.5999999996</v>
      </c>
      <c r="R16" s="11">
        <v>3650000</v>
      </c>
      <c r="S16" s="13">
        <f>S15-S31-S37</f>
        <v>3371436.5</v>
      </c>
      <c r="T16" s="12">
        <v>2385224</v>
      </c>
      <c r="U16" s="12">
        <v>2185631.7000000002</v>
      </c>
      <c r="V16" s="12">
        <v>2315496</v>
      </c>
      <c r="W16" s="12">
        <f>17353018.4-208800.4</f>
        <v>17144218</v>
      </c>
      <c r="X16" s="73">
        <v>3348496000</v>
      </c>
      <c r="Y16" s="73">
        <f>3107917633.63-242736273.56</f>
        <v>2865181360.0700002</v>
      </c>
      <c r="Z16" s="73">
        <v>4200000000</v>
      </c>
      <c r="AA16" s="83">
        <f>3727049119.95-217939715.08</f>
        <v>3509109404.8699999</v>
      </c>
    </row>
    <row r="17" spans="1:28" x14ac:dyDescent="0.25">
      <c r="A17" s="92"/>
      <c r="B17" s="23" t="s">
        <v>39</v>
      </c>
      <c r="C17" s="11">
        <v>186569.1</v>
      </c>
      <c r="D17" s="11">
        <v>266411.3</v>
      </c>
      <c r="E17" s="11">
        <v>280237.3</v>
      </c>
      <c r="F17" s="11">
        <v>379679.7</v>
      </c>
      <c r="G17" s="11">
        <v>306902.90000000002</v>
      </c>
      <c r="H17" s="11">
        <v>140926.1</v>
      </c>
      <c r="I17" s="12">
        <v>189597.5</v>
      </c>
      <c r="J17" s="11">
        <v>213602.9</v>
      </c>
      <c r="K17" s="11">
        <v>189627.40000000002</v>
      </c>
      <c r="L17" s="11">
        <v>250000</v>
      </c>
      <c r="M17" s="11">
        <v>187291.3</v>
      </c>
      <c r="N17" s="11">
        <v>324163</v>
      </c>
      <c r="O17" s="11">
        <v>153881.70000000001</v>
      </c>
      <c r="P17" s="11">
        <v>187040</v>
      </c>
      <c r="Q17" s="11">
        <v>145391.70000000001</v>
      </c>
      <c r="R17" s="11"/>
      <c r="S17" s="13">
        <v>107458.5</v>
      </c>
      <c r="T17" s="12"/>
      <c r="U17" s="12">
        <v>95818.6</v>
      </c>
      <c r="V17" s="12"/>
      <c r="W17" s="12">
        <v>62123.8</v>
      </c>
      <c r="X17" s="73"/>
      <c r="Y17" s="73">
        <v>101611772.44</v>
      </c>
      <c r="Z17" s="73"/>
      <c r="AA17" s="83">
        <v>154502094.03</v>
      </c>
    </row>
    <row r="18" spans="1:28" x14ac:dyDescent="0.25">
      <c r="A18" s="92"/>
      <c r="B18" s="23" t="s">
        <v>40</v>
      </c>
      <c r="C18" s="11">
        <v>677975.8</v>
      </c>
      <c r="D18" s="11">
        <v>693380.9</v>
      </c>
      <c r="E18" s="11">
        <v>919436</v>
      </c>
      <c r="F18" s="11">
        <v>1352302.6</v>
      </c>
      <c r="G18" s="11">
        <v>1894422.2</v>
      </c>
      <c r="H18" s="11">
        <v>848323.8</v>
      </c>
      <c r="I18" s="12">
        <v>858018.4</v>
      </c>
      <c r="J18" s="11">
        <v>1249237</v>
      </c>
      <c r="K18" s="11">
        <v>1350801.4</v>
      </c>
      <c r="L18" s="11">
        <v>1344871</v>
      </c>
      <c r="M18" s="11">
        <v>1316015.5</v>
      </c>
      <c r="N18" s="11">
        <v>1416232</v>
      </c>
      <c r="O18" s="11">
        <v>1228840.6000000001</v>
      </c>
      <c r="P18" s="11">
        <v>1416232</v>
      </c>
      <c r="Q18" s="11">
        <v>1069920.5</v>
      </c>
      <c r="R18" s="11"/>
      <c r="S18" s="13">
        <v>850627.8</v>
      </c>
      <c r="T18" s="12"/>
      <c r="U18" s="12">
        <v>670785.4</v>
      </c>
      <c r="V18" s="12"/>
      <c r="W18" s="12">
        <v>549383.69999999995</v>
      </c>
      <c r="X18" s="73"/>
      <c r="Y18" s="73">
        <v>850317633.75999999</v>
      </c>
      <c r="Z18" s="73"/>
      <c r="AA18" s="83">
        <v>1016625070.5599999</v>
      </c>
    </row>
    <row r="19" spans="1:28" x14ac:dyDescent="0.25">
      <c r="A19" s="92"/>
      <c r="B19" s="23" t="s">
        <v>41</v>
      </c>
      <c r="C19" s="11">
        <v>375034.1</v>
      </c>
      <c r="D19" s="11">
        <v>536710</v>
      </c>
      <c r="E19" s="11">
        <v>698961.9</v>
      </c>
      <c r="F19" s="11">
        <v>1093888</v>
      </c>
      <c r="G19" s="11">
        <v>1389123.5</v>
      </c>
      <c r="H19" s="11">
        <v>419864.7</v>
      </c>
      <c r="I19" s="12">
        <v>686037.8</v>
      </c>
      <c r="J19" s="11">
        <v>880191.2</v>
      </c>
      <c r="K19" s="11">
        <v>983364</v>
      </c>
      <c r="L19" s="11">
        <v>614655</v>
      </c>
      <c r="M19" s="11">
        <v>913545.1</v>
      </c>
      <c r="N19" s="11">
        <v>510171</v>
      </c>
      <c r="O19" s="11">
        <v>877361.5</v>
      </c>
      <c r="P19" s="11">
        <v>706962</v>
      </c>
      <c r="Q19" s="11">
        <v>861449.1</v>
      </c>
      <c r="R19" s="11"/>
      <c r="S19" s="13">
        <v>748935.2</v>
      </c>
      <c r="T19" s="12"/>
      <c r="U19" s="12">
        <v>659690.1</v>
      </c>
      <c r="V19" s="12"/>
      <c r="W19" s="12">
        <v>622130.5</v>
      </c>
      <c r="X19" s="73"/>
      <c r="Y19" s="73">
        <v>892201581</v>
      </c>
      <c r="Z19" s="73"/>
      <c r="AA19" s="83">
        <v>1030028033.37</v>
      </c>
    </row>
    <row r="20" spans="1:28" x14ac:dyDescent="0.25">
      <c r="A20" s="92"/>
      <c r="B20" s="23" t="s">
        <v>42</v>
      </c>
      <c r="C20" s="11">
        <v>201140.3</v>
      </c>
      <c r="D20" s="11">
        <v>361282.5</v>
      </c>
      <c r="E20" s="11">
        <v>383410.9</v>
      </c>
      <c r="F20" s="11">
        <v>514550.5</v>
      </c>
      <c r="G20" s="11">
        <v>819800.3</v>
      </c>
      <c r="H20" s="11">
        <v>172213.9</v>
      </c>
      <c r="I20" s="12">
        <v>389771.1</v>
      </c>
      <c r="J20" s="11">
        <v>455208</v>
      </c>
      <c r="K20" s="11">
        <v>595060.9</v>
      </c>
      <c r="L20" s="11">
        <v>517500</v>
      </c>
      <c r="M20" s="11">
        <v>612965</v>
      </c>
      <c r="N20" s="11">
        <v>604896</v>
      </c>
      <c r="O20" s="11">
        <v>483472.1</v>
      </c>
      <c r="P20" s="11">
        <v>605000</v>
      </c>
      <c r="Q20" s="11">
        <v>457428.7</v>
      </c>
      <c r="R20" s="11"/>
      <c r="S20" s="13">
        <v>356675.8</v>
      </c>
      <c r="T20" s="12"/>
      <c r="U20" s="12">
        <v>275748.3</v>
      </c>
      <c r="V20" s="12"/>
      <c r="W20" s="12">
        <v>276460.7</v>
      </c>
      <c r="X20" s="73"/>
      <c r="Y20" s="73">
        <v>445891277.49000001</v>
      </c>
      <c r="Z20" s="73"/>
      <c r="AA20" s="83">
        <v>509506375</v>
      </c>
    </row>
    <row r="21" spans="1:28" x14ac:dyDescent="0.25">
      <c r="A21" s="92"/>
      <c r="B21" s="23" t="s">
        <v>43</v>
      </c>
      <c r="C21" s="11">
        <v>220010.3</v>
      </c>
      <c r="D21" s="11">
        <v>214693.4</v>
      </c>
      <c r="E21" s="11">
        <v>196463.1</v>
      </c>
      <c r="F21" s="11">
        <v>180548.3</v>
      </c>
      <c r="G21" s="11">
        <v>217048.4</v>
      </c>
      <c r="H21" s="11">
        <v>179888.1</v>
      </c>
      <c r="I21" s="12">
        <v>138914.5</v>
      </c>
      <c r="J21" s="11">
        <v>170489</v>
      </c>
      <c r="K21" s="11">
        <v>184458.3</v>
      </c>
      <c r="L21" s="11">
        <v>225000</v>
      </c>
      <c r="M21" s="11">
        <v>226589.7</v>
      </c>
      <c r="N21" s="11">
        <v>225000</v>
      </c>
      <c r="O21" s="11">
        <v>231072.2</v>
      </c>
      <c r="P21" s="11">
        <v>225000</v>
      </c>
      <c r="Q21" s="11">
        <v>228118.9</v>
      </c>
      <c r="R21" s="11"/>
      <c r="S21" s="13">
        <v>223551.3</v>
      </c>
      <c r="T21" s="12"/>
      <c r="U21" s="12">
        <v>176815.8</v>
      </c>
      <c r="V21" s="12"/>
      <c r="W21" s="12">
        <v>129753</v>
      </c>
      <c r="X21" s="73"/>
      <c r="Y21" s="73">
        <v>212369820.11000001</v>
      </c>
      <c r="Z21" s="73"/>
      <c r="AA21" s="83">
        <v>262661097.41</v>
      </c>
    </row>
    <row r="22" spans="1:28" x14ac:dyDescent="0.25">
      <c r="A22" s="92"/>
      <c r="B22" s="23" t="s">
        <v>44</v>
      </c>
      <c r="C22" s="11">
        <v>145563.6</v>
      </c>
      <c r="D22" s="11">
        <v>178002.2</v>
      </c>
      <c r="E22" s="11">
        <v>248440.6</v>
      </c>
      <c r="F22" s="11">
        <v>329466.5</v>
      </c>
      <c r="G22" s="11">
        <v>474264.1</v>
      </c>
      <c r="H22" s="11">
        <v>147883.70000000001</v>
      </c>
      <c r="I22" s="12">
        <v>167551</v>
      </c>
      <c r="J22" s="11">
        <v>223529.7</v>
      </c>
      <c r="K22" s="11">
        <v>211465.8</v>
      </c>
      <c r="L22" s="11">
        <v>220000</v>
      </c>
      <c r="M22" s="11">
        <v>280679.5</v>
      </c>
      <c r="N22" s="11">
        <v>220000</v>
      </c>
      <c r="O22" s="11">
        <v>307100.3</v>
      </c>
      <c r="P22" s="11">
        <v>220000</v>
      </c>
      <c r="Q22" s="11">
        <v>333202.09999999998</v>
      </c>
      <c r="R22" s="11"/>
      <c r="S22" s="13">
        <v>243270.5</v>
      </c>
      <c r="T22" s="12"/>
      <c r="U22" s="12">
        <v>158576</v>
      </c>
      <c r="V22" s="12"/>
      <c r="W22" s="12">
        <v>150405.5</v>
      </c>
      <c r="X22" s="73"/>
      <c r="Y22" s="73">
        <v>215963750.31</v>
      </c>
      <c r="Z22" s="73"/>
      <c r="AA22" s="83">
        <v>306209771.30000001</v>
      </c>
    </row>
    <row r="23" spans="1:28" x14ac:dyDescent="0.25">
      <c r="A23" s="92"/>
      <c r="B23" s="23" t="s">
        <v>45</v>
      </c>
      <c r="C23" s="11">
        <v>25582.9</v>
      </c>
      <c r="D23" s="11">
        <v>33165.5</v>
      </c>
      <c r="E23" s="11">
        <v>33909.699999999997</v>
      </c>
      <c r="F23" s="11">
        <v>36743.599999999999</v>
      </c>
      <c r="G23" s="11">
        <v>41446.800000000003</v>
      </c>
      <c r="H23" s="11">
        <v>28957.4</v>
      </c>
      <c r="I23" s="12">
        <v>34509.699999999997</v>
      </c>
      <c r="J23" s="11">
        <v>39619.1</v>
      </c>
      <c r="K23" s="11">
        <v>38252.1</v>
      </c>
      <c r="L23" s="11">
        <v>60000</v>
      </c>
      <c r="M23" s="11">
        <v>36600.9</v>
      </c>
      <c r="N23" s="11">
        <v>27450</v>
      </c>
      <c r="O23" s="11">
        <v>34350.300000000003</v>
      </c>
      <c r="P23" s="11">
        <v>40000</v>
      </c>
      <c r="Q23" s="11">
        <v>30433</v>
      </c>
      <c r="R23" s="11"/>
      <c r="S23" s="13">
        <v>21576.1</v>
      </c>
      <c r="T23" s="12"/>
      <c r="U23" s="12">
        <v>18730.8</v>
      </c>
      <c r="V23" s="12"/>
      <c r="W23" s="12">
        <v>14803.3</v>
      </c>
      <c r="X23" s="73"/>
      <c r="Y23" s="73">
        <v>16968256.25</v>
      </c>
      <c r="Z23" s="73"/>
      <c r="AA23" s="83">
        <v>16509567.029999999</v>
      </c>
    </row>
    <row r="24" spans="1:28" x14ac:dyDescent="0.25">
      <c r="A24" s="92"/>
      <c r="B24" s="23" t="s">
        <v>90</v>
      </c>
      <c r="C24" s="11"/>
      <c r="D24" s="11"/>
      <c r="E24" s="11"/>
      <c r="F24" s="11"/>
      <c r="G24" s="11"/>
      <c r="H24" s="11"/>
      <c r="I24" s="12"/>
      <c r="J24" s="11"/>
      <c r="K24" s="11"/>
      <c r="L24" s="11"/>
      <c r="M24" s="11"/>
      <c r="N24" s="11"/>
      <c r="O24" s="11"/>
      <c r="P24" s="11"/>
      <c r="Q24" s="11"/>
      <c r="R24" s="11"/>
      <c r="S24" s="13"/>
      <c r="T24" s="12"/>
      <c r="U24" s="12"/>
      <c r="V24" s="12"/>
      <c r="W24" s="12"/>
      <c r="X24" s="73"/>
      <c r="Y24" s="73">
        <v>71081622.379999995</v>
      </c>
      <c r="Z24" s="73"/>
      <c r="AA24" s="83">
        <v>88331366.510000005</v>
      </c>
    </row>
    <row r="25" spans="1:28" x14ac:dyDescent="0.25">
      <c r="A25" s="92"/>
      <c r="B25" s="23" t="s">
        <v>99</v>
      </c>
      <c r="C25" s="11"/>
      <c r="D25" s="11"/>
      <c r="E25" s="11"/>
      <c r="F25" s="11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  <c r="R25" s="11"/>
      <c r="S25" s="13"/>
      <c r="T25" s="12"/>
      <c r="U25" s="12"/>
      <c r="V25" s="12"/>
      <c r="W25" s="12"/>
      <c r="X25" s="73"/>
      <c r="Y25" s="73">
        <v>3110555.49</v>
      </c>
      <c r="Z25" s="73"/>
      <c r="AA25" s="83">
        <v>42127608.859999999</v>
      </c>
    </row>
    <row r="26" spans="1:28" x14ac:dyDescent="0.25">
      <c r="A26" s="92"/>
      <c r="B26" s="23" t="s">
        <v>46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2">
        <v>0</v>
      </c>
      <c r="J26" s="11">
        <v>0</v>
      </c>
      <c r="K26" s="11">
        <v>0</v>
      </c>
      <c r="L26" s="11">
        <v>0</v>
      </c>
      <c r="M26" s="11">
        <v>0</v>
      </c>
      <c r="N26" s="11">
        <v>700000</v>
      </c>
      <c r="O26" s="11">
        <v>561837.9</v>
      </c>
      <c r="P26" s="11">
        <v>1050000</v>
      </c>
      <c r="Q26" s="11">
        <v>971106.8</v>
      </c>
      <c r="R26" s="11">
        <v>1050000</v>
      </c>
      <c r="S26" s="13">
        <v>662228.80000000005</v>
      </c>
      <c r="T26" s="12">
        <v>0</v>
      </c>
      <c r="U26" s="12">
        <v>0</v>
      </c>
      <c r="V26" s="12">
        <v>0</v>
      </c>
      <c r="W26" s="12">
        <v>0</v>
      </c>
      <c r="X26" s="73"/>
      <c r="Y26" s="73">
        <v>0</v>
      </c>
      <c r="Z26" s="73"/>
      <c r="AA26" s="83">
        <v>0</v>
      </c>
      <c r="AB26" s="36"/>
    </row>
    <row r="27" spans="1:28" x14ac:dyDescent="0.25">
      <c r="A27" s="92"/>
      <c r="B27" s="23" t="s">
        <v>81</v>
      </c>
      <c r="C27" s="11">
        <f>235127.3-151650.7</f>
        <v>83476.599999999977</v>
      </c>
      <c r="D27" s="11">
        <f>260947.2-165007</f>
        <v>95940.200000000012</v>
      </c>
      <c r="E27" s="12">
        <v>416516.49999999953</v>
      </c>
      <c r="F27" s="27">
        <v>245062.5</v>
      </c>
      <c r="G27" s="12">
        <v>284186.80000000098</v>
      </c>
      <c r="H27" s="12">
        <v>119965.30000000005</v>
      </c>
      <c r="I27" s="12">
        <v>129630.79999999935</v>
      </c>
      <c r="J27" s="12">
        <v>85979.399999999907</v>
      </c>
      <c r="K27" s="11">
        <v>82128.700000000652</v>
      </c>
      <c r="L27" s="11">
        <f>L16-SUM(L17:L26)</f>
        <v>552404</v>
      </c>
      <c r="M27" s="11">
        <f>155094.9-959</f>
        <v>154135.9</v>
      </c>
      <c r="N27" s="11">
        <v>340714</v>
      </c>
      <c r="O27" s="11">
        <f>O16-SUM(O17:O26)</f>
        <v>178556.69999999972</v>
      </c>
      <c r="P27" s="11">
        <f>P16-SUM(P17:P26)</f>
        <v>208415</v>
      </c>
      <c r="Q27" s="11">
        <f>Q16-SUM(Q17:Q26)</f>
        <v>201853.79999999981</v>
      </c>
      <c r="R27" s="11"/>
      <c r="S27" s="13">
        <f>S16-SUM(S17:S26)</f>
        <v>157112.5</v>
      </c>
      <c r="T27" s="12"/>
      <c r="U27" s="12">
        <v>129466.69999999995</v>
      </c>
      <c r="V27" s="12"/>
      <c r="W27" s="12">
        <f>W16-SUM(W17:W26)</f>
        <v>15339157.5</v>
      </c>
      <c r="X27" s="73"/>
      <c r="Y27" s="73">
        <f>Y16-SUM(Y17:Y26)</f>
        <v>55665090.840000153</v>
      </c>
      <c r="Z27" s="73"/>
      <c r="AA27" s="83">
        <f>AA16-SUM(AA17:AA26)</f>
        <v>82608420.799999237</v>
      </c>
    </row>
    <row r="28" spans="1:28" x14ac:dyDescent="0.25">
      <c r="A28" s="93"/>
      <c r="B28" s="28" t="s">
        <v>83</v>
      </c>
      <c r="C28" s="11"/>
      <c r="D28" s="11"/>
      <c r="E28" s="12"/>
      <c r="F28" s="29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  <c r="S28" s="13"/>
      <c r="T28" s="12"/>
      <c r="U28" s="12"/>
      <c r="V28" s="12"/>
      <c r="W28" s="12">
        <v>15242931.300000001</v>
      </c>
      <c r="X28" s="73"/>
      <c r="Y28" s="74" t="s">
        <v>65</v>
      </c>
      <c r="Z28" s="74"/>
      <c r="AA28" s="86" t="s">
        <v>65</v>
      </c>
    </row>
    <row r="29" spans="1:28" x14ac:dyDescent="0.25">
      <c r="A29" s="25" t="s">
        <v>97</v>
      </c>
      <c r="B29" s="28" t="s">
        <v>98</v>
      </c>
      <c r="C29" s="11"/>
      <c r="D29" s="11"/>
      <c r="E29" s="12"/>
      <c r="F29" s="29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  <c r="S29" s="13"/>
      <c r="T29" s="12"/>
      <c r="U29" s="12"/>
      <c r="V29" s="12"/>
      <c r="W29" s="12"/>
      <c r="X29" s="73"/>
      <c r="Y29" s="74">
        <v>629679.01</v>
      </c>
      <c r="Z29" s="74"/>
      <c r="AA29" s="86">
        <v>19018966.829999998</v>
      </c>
    </row>
    <row r="30" spans="1:28" x14ac:dyDescent="0.25">
      <c r="A30" s="78" t="s">
        <v>102</v>
      </c>
      <c r="B30" s="28" t="s">
        <v>103</v>
      </c>
      <c r="C30" s="11"/>
      <c r="D30" s="11"/>
      <c r="E30" s="12"/>
      <c r="F30" s="29"/>
      <c r="G30" s="12"/>
      <c r="H30" s="12"/>
      <c r="I30" s="12"/>
      <c r="J30" s="12"/>
      <c r="K30" s="11"/>
      <c r="L30" s="11"/>
      <c r="M30" s="11"/>
      <c r="N30" s="11"/>
      <c r="O30" s="11"/>
      <c r="P30" s="11"/>
      <c r="Q30" s="11"/>
      <c r="R30" s="11"/>
      <c r="S30" s="13"/>
      <c r="T30" s="12"/>
      <c r="U30" s="12"/>
      <c r="V30" s="12"/>
      <c r="W30" s="12"/>
      <c r="X30" s="73"/>
      <c r="Y30" s="74"/>
      <c r="Z30" s="74"/>
      <c r="AA30" s="86">
        <v>35248209.549999997</v>
      </c>
    </row>
    <row r="31" spans="1:28" ht="28.5" customHeight="1" x14ac:dyDescent="0.25">
      <c r="A31" s="91" t="s">
        <v>47</v>
      </c>
      <c r="B31" s="26" t="s">
        <v>48</v>
      </c>
      <c r="C31" s="12">
        <v>0</v>
      </c>
      <c r="D31" s="12">
        <v>0</v>
      </c>
      <c r="E31" s="12">
        <v>0</v>
      </c>
      <c r="F31" s="12">
        <f>137984+960000</f>
        <v>1097984</v>
      </c>
      <c r="G31" s="12">
        <v>23</v>
      </c>
      <c r="H31" s="12">
        <v>0</v>
      </c>
      <c r="I31" s="12">
        <v>0</v>
      </c>
      <c r="J31" s="12">
        <v>0</v>
      </c>
      <c r="K31" s="12">
        <v>140255.20000000001</v>
      </c>
      <c r="L31" s="12">
        <f>SUM(L32:L36)</f>
        <v>361992</v>
      </c>
      <c r="M31" s="12">
        <f>247277.4+959</f>
        <v>248236.4</v>
      </c>
      <c r="N31" s="12">
        <v>481388</v>
      </c>
      <c r="O31" s="12">
        <f>SUM(O32:O36)</f>
        <v>363330.9</v>
      </c>
      <c r="P31" s="12">
        <f>SUM(P32:P36)</f>
        <v>331588</v>
      </c>
      <c r="Q31" s="12">
        <f>SUM(Q32:Q36)+6.6</f>
        <v>287856.39999999997</v>
      </c>
      <c r="R31" s="12">
        <f>SUM(R32:R36)</f>
        <v>163108</v>
      </c>
      <c r="S31" s="30">
        <f>SUM(S32:S36)</f>
        <v>116910.2</v>
      </c>
      <c r="T31" s="12">
        <f>SUM(T32:T36)</f>
        <v>268138</v>
      </c>
      <c r="U31" s="12">
        <v>199707.4</v>
      </c>
      <c r="V31" s="12">
        <f>SUM(V32:V36)</f>
        <v>246496</v>
      </c>
      <c r="W31" s="12">
        <f>SUM(W32:W36)</f>
        <v>210703.5</v>
      </c>
      <c r="X31" s="73">
        <v>259406000</v>
      </c>
      <c r="Y31" s="73">
        <f>SUM(Y32:Y36)</f>
        <v>244644612.99000001</v>
      </c>
      <c r="Z31" s="73">
        <v>224081000</v>
      </c>
      <c r="AA31" s="83">
        <f>SUM(AA32:AA36)</f>
        <v>219854770.47</v>
      </c>
    </row>
    <row r="32" spans="1:28" x14ac:dyDescent="0.25">
      <c r="A32" s="92"/>
      <c r="B32" s="31" t="s">
        <v>49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77.3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3">
        <v>0</v>
      </c>
      <c r="T32" s="12">
        <v>0</v>
      </c>
      <c r="U32" s="12">
        <v>0</v>
      </c>
      <c r="V32" s="12">
        <v>0</v>
      </c>
      <c r="W32" s="12">
        <v>0</v>
      </c>
      <c r="X32" s="73"/>
      <c r="Y32" s="73">
        <v>0</v>
      </c>
      <c r="Z32" s="73"/>
      <c r="AA32" s="83">
        <v>0</v>
      </c>
    </row>
    <row r="33" spans="1:32" x14ac:dyDescent="0.25">
      <c r="A33" s="92"/>
      <c r="B33" s="31" t="s">
        <v>50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20177.900000000001</v>
      </c>
      <c r="L33" s="11">
        <v>179096</v>
      </c>
      <c r="M33" s="11">
        <v>154461.29999999999</v>
      </c>
      <c r="N33" s="11">
        <v>191388</v>
      </c>
      <c r="O33" s="11">
        <v>182384.5</v>
      </c>
      <c r="P33" s="11">
        <v>199588</v>
      </c>
      <c r="Q33" s="11">
        <v>176098.8</v>
      </c>
      <c r="R33" s="11">
        <v>105608</v>
      </c>
      <c r="S33" s="13">
        <v>102013</v>
      </c>
      <c r="T33" s="12">
        <v>228138</v>
      </c>
      <c r="U33" s="12">
        <v>199526.39999999999</v>
      </c>
      <c r="V33" s="12">
        <v>246496</v>
      </c>
      <c r="W33" s="12">
        <v>210703.5</v>
      </c>
      <c r="X33" s="73">
        <v>259406000</v>
      </c>
      <c r="Y33" s="73">
        <v>244644612.99000001</v>
      </c>
      <c r="Z33" s="73">
        <v>224081000</v>
      </c>
      <c r="AA33" s="83">
        <v>219854770.47</v>
      </c>
    </row>
    <row r="34" spans="1:32" x14ac:dyDescent="0.25">
      <c r="A34" s="92"/>
      <c r="B34" s="31" t="s">
        <v>51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120000</v>
      </c>
      <c r="L34" s="11">
        <v>22896</v>
      </c>
      <c r="M34" s="11">
        <v>58356</v>
      </c>
      <c r="N34" s="11">
        <v>60000</v>
      </c>
      <c r="O34" s="11">
        <v>137000</v>
      </c>
      <c r="P34" s="11">
        <v>0</v>
      </c>
      <c r="Q34" s="11">
        <v>60000</v>
      </c>
      <c r="R34" s="11">
        <v>0</v>
      </c>
      <c r="S34" s="13">
        <v>0</v>
      </c>
      <c r="T34" s="12">
        <v>30000</v>
      </c>
      <c r="U34" s="12">
        <v>0</v>
      </c>
      <c r="V34" s="12">
        <v>0</v>
      </c>
      <c r="W34" s="12">
        <v>0</v>
      </c>
      <c r="X34" s="73">
        <v>0</v>
      </c>
      <c r="Y34" s="73">
        <v>0</v>
      </c>
      <c r="Z34" s="73">
        <v>0</v>
      </c>
      <c r="AA34" s="83">
        <v>0</v>
      </c>
    </row>
    <row r="35" spans="1:32" x14ac:dyDescent="0.25">
      <c r="A35" s="92"/>
      <c r="B35" s="31" t="s">
        <v>52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160000</v>
      </c>
      <c r="M35" s="11">
        <v>35419.1</v>
      </c>
      <c r="N35" s="11">
        <v>230000</v>
      </c>
      <c r="O35" s="11">
        <v>43946.400000000001</v>
      </c>
      <c r="P35" s="11">
        <v>132000</v>
      </c>
      <c r="Q35" s="11">
        <v>51751</v>
      </c>
      <c r="R35" s="11">
        <v>57500</v>
      </c>
      <c r="S35" s="13">
        <v>14897.2</v>
      </c>
      <c r="T35" s="12">
        <v>10000</v>
      </c>
      <c r="U35" s="12">
        <v>181</v>
      </c>
      <c r="V35" s="12">
        <v>0</v>
      </c>
      <c r="W35" s="12">
        <v>0</v>
      </c>
      <c r="X35" s="73">
        <v>0</v>
      </c>
      <c r="Y35" s="73">
        <v>0</v>
      </c>
      <c r="Z35" s="73"/>
      <c r="AA35" s="83">
        <v>0</v>
      </c>
    </row>
    <row r="36" spans="1:32" x14ac:dyDescent="0.25">
      <c r="A36" s="92"/>
      <c r="B36" s="26" t="s">
        <v>53</v>
      </c>
      <c r="C36" s="11">
        <v>0</v>
      </c>
      <c r="D36" s="11">
        <v>0</v>
      </c>
      <c r="E36" s="32">
        <v>0</v>
      </c>
      <c r="F36" s="32">
        <f>137984+960000</f>
        <v>1097984</v>
      </c>
      <c r="G36" s="32">
        <v>23</v>
      </c>
      <c r="H36" s="32">
        <v>0</v>
      </c>
      <c r="I36" s="12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3">
        <v>0</v>
      </c>
      <c r="T36" s="12">
        <v>0</v>
      </c>
      <c r="U36" s="12">
        <v>0</v>
      </c>
      <c r="V36" s="12">
        <v>0</v>
      </c>
      <c r="W36" s="12">
        <v>0</v>
      </c>
      <c r="X36" s="73"/>
      <c r="Y36" s="73">
        <v>0</v>
      </c>
      <c r="Z36" s="73"/>
      <c r="AA36" s="83">
        <v>0</v>
      </c>
    </row>
    <row r="37" spans="1:32" x14ac:dyDescent="0.25">
      <c r="A37" s="91" t="s">
        <v>54</v>
      </c>
      <c r="B37" s="23" t="s">
        <v>55</v>
      </c>
      <c r="C37" s="11">
        <v>151650.70000000001</v>
      </c>
      <c r="D37" s="11">
        <v>165007</v>
      </c>
      <c r="E37" s="12">
        <v>185033</v>
      </c>
      <c r="F37" s="12">
        <v>974574.3</v>
      </c>
      <c r="G37" s="12">
        <v>1230373</v>
      </c>
      <c r="H37" s="12">
        <v>1269583</v>
      </c>
      <c r="I37" s="12">
        <v>1295636.5</v>
      </c>
      <c r="J37" s="12">
        <v>1315098.5</v>
      </c>
      <c r="K37" s="11">
        <v>1276713.3999999999</v>
      </c>
      <c r="L37" s="11">
        <f>SUM(L38:L40)</f>
        <v>1393608</v>
      </c>
      <c r="M37" s="11">
        <v>1318267.6000000001</v>
      </c>
      <c r="N37" s="11">
        <v>1387341</v>
      </c>
      <c r="O37" s="11">
        <f>SUM(O38:O40)</f>
        <v>1350759.4</v>
      </c>
      <c r="P37" s="11">
        <f>SUM(P38:P41)</f>
        <v>1649245</v>
      </c>
      <c r="Q37" s="11">
        <f>SUM(Q38:Q41)</f>
        <v>1569948.2</v>
      </c>
      <c r="R37" s="11">
        <f>SUM(R38:R42)</f>
        <v>1976019</v>
      </c>
      <c r="S37" s="13">
        <f>SUM(S38:S42)+0.1</f>
        <v>2013493.3</v>
      </c>
      <c r="T37" s="12">
        <f>SUM(T38:T43)</f>
        <v>513000</v>
      </c>
      <c r="U37" s="12">
        <v>379922.6</v>
      </c>
      <c r="V37" s="12">
        <f>SUM(V38:V43)</f>
        <v>2710353</v>
      </c>
      <c r="W37" s="12">
        <f>SUM(W38:W43)</f>
        <v>2571887.8000000003</v>
      </c>
      <c r="X37" s="73">
        <v>742500000</v>
      </c>
      <c r="Y37" s="73">
        <f>SUM(Y38:Y43)</f>
        <v>677764339.69000006</v>
      </c>
      <c r="Z37" s="73">
        <v>998100000</v>
      </c>
      <c r="AA37" s="83">
        <f>SUM(AA38:AA44)</f>
        <v>1057708799.02</v>
      </c>
    </row>
    <row r="38" spans="1:32" x14ac:dyDescent="0.25">
      <c r="A38" s="92"/>
      <c r="B38" s="26" t="s">
        <v>56</v>
      </c>
      <c r="C38" s="11">
        <v>151650.70000000001</v>
      </c>
      <c r="D38" s="11">
        <v>165007</v>
      </c>
      <c r="E38" s="32">
        <v>185033</v>
      </c>
      <c r="F38" s="32">
        <v>196991.3</v>
      </c>
      <c r="G38" s="32">
        <v>230000</v>
      </c>
      <c r="H38" s="32">
        <v>269200</v>
      </c>
      <c r="I38" s="12">
        <v>238240.7</v>
      </c>
      <c r="J38" s="11">
        <v>225252.9</v>
      </c>
      <c r="K38" s="11">
        <v>213499.8</v>
      </c>
      <c r="L38" s="11">
        <v>222000</v>
      </c>
      <c r="M38" s="11">
        <v>230599.9</v>
      </c>
      <c r="N38" s="11">
        <v>220000</v>
      </c>
      <c r="O38" s="11">
        <v>247998.3</v>
      </c>
      <c r="P38" s="11">
        <v>246000</v>
      </c>
      <c r="Q38" s="11">
        <v>245980.3</v>
      </c>
      <c r="R38" s="11">
        <v>249000</v>
      </c>
      <c r="S38" s="13">
        <v>234711.4</v>
      </c>
      <c r="T38" s="12">
        <v>0</v>
      </c>
      <c r="U38" s="12">
        <v>0</v>
      </c>
      <c r="V38" s="12">
        <v>0</v>
      </c>
      <c r="W38" s="12">
        <v>0</v>
      </c>
      <c r="X38" s="73">
        <v>290000000</v>
      </c>
      <c r="Y38" s="73">
        <v>371999762.88999999</v>
      </c>
      <c r="Z38" s="73">
        <v>330000000</v>
      </c>
      <c r="AA38" s="83">
        <v>481999557.37</v>
      </c>
    </row>
    <row r="39" spans="1:32" x14ac:dyDescent="0.25">
      <c r="A39" s="92"/>
      <c r="B39" s="26" t="s">
        <v>57</v>
      </c>
      <c r="C39" s="11">
        <v>0</v>
      </c>
      <c r="D39" s="11">
        <v>0</v>
      </c>
      <c r="E39" s="32">
        <v>0</v>
      </c>
      <c r="F39" s="32">
        <v>210000</v>
      </c>
      <c r="G39" s="32">
        <v>330016</v>
      </c>
      <c r="H39" s="32">
        <v>282800</v>
      </c>
      <c r="I39" s="12">
        <v>302778.8</v>
      </c>
      <c r="J39" s="11">
        <v>254516.5</v>
      </c>
      <c r="K39" s="11">
        <v>227884.6</v>
      </c>
      <c r="L39" s="11">
        <v>336279</v>
      </c>
      <c r="M39" s="11">
        <v>252338.7</v>
      </c>
      <c r="N39" s="11">
        <v>332012</v>
      </c>
      <c r="O39" s="11">
        <v>267432.09999999998</v>
      </c>
      <c r="P39" s="11">
        <v>300524</v>
      </c>
      <c r="Q39" s="11">
        <v>251955.5</v>
      </c>
      <c r="R39" s="11">
        <v>278000</v>
      </c>
      <c r="S39" s="13">
        <v>223963.5</v>
      </c>
      <c r="T39" s="12">
        <v>297500</v>
      </c>
      <c r="U39" s="12">
        <v>210983.7</v>
      </c>
      <c r="V39" s="12">
        <v>297000</v>
      </c>
      <c r="W39" s="12">
        <v>182290.2</v>
      </c>
      <c r="X39" s="73">
        <v>261500000</v>
      </c>
      <c r="Y39" s="73">
        <v>180250654.34999999</v>
      </c>
      <c r="Z39" s="73">
        <v>476200000</v>
      </c>
      <c r="AA39" s="83">
        <v>380997260.51999998</v>
      </c>
    </row>
    <row r="40" spans="1:32" ht="28.5" customHeight="1" x14ac:dyDescent="0.25">
      <c r="A40" s="92"/>
      <c r="B40" s="26" t="s">
        <v>58</v>
      </c>
      <c r="C40" s="12">
        <v>0</v>
      </c>
      <c r="D40" s="12">
        <v>0</v>
      </c>
      <c r="E40" s="33">
        <v>0</v>
      </c>
      <c r="F40" s="33">
        <v>567583</v>
      </c>
      <c r="G40" s="33">
        <v>670357</v>
      </c>
      <c r="H40" s="33">
        <v>717583</v>
      </c>
      <c r="I40" s="12">
        <v>754617</v>
      </c>
      <c r="J40" s="12">
        <v>835329.1</v>
      </c>
      <c r="K40" s="12">
        <v>835329</v>
      </c>
      <c r="L40" s="12">
        <v>835329</v>
      </c>
      <c r="M40" s="12">
        <v>835329</v>
      </c>
      <c r="N40" s="12">
        <v>835329</v>
      </c>
      <c r="O40" s="12">
        <v>835329</v>
      </c>
      <c r="P40" s="12">
        <v>1032721</v>
      </c>
      <c r="Q40" s="12">
        <v>1032721</v>
      </c>
      <c r="R40" s="12">
        <v>1179019</v>
      </c>
      <c r="S40" s="30">
        <v>1429019</v>
      </c>
      <c r="T40" s="12">
        <v>0</v>
      </c>
      <c r="U40" s="12">
        <v>0</v>
      </c>
      <c r="V40" s="12">
        <v>2243053</v>
      </c>
      <c r="W40" s="12">
        <v>2243053</v>
      </c>
      <c r="X40" s="73"/>
      <c r="Y40" s="73">
        <v>0</v>
      </c>
      <c r="Z40" s="73"/>
      <c r="AA40" s="83">
        <v>0</v>
      </c>
    </row>
    <row r="41" spans="1:32" ht="39" x14ac:dyDescent="0.25">
      <c r="A41" s="92"/>
      <c r="B41" s="26" t="s">
        <v>59</v>
      </c>
      <c r="C41" s="12"/>
      <c r="D41" s="12"/>
      <c r="E41" s="33"/>
      <c r="F41" s="33"/>
      <c r="G41" s="33"/>
      <c r="H41" s="33"/>
      <c r="I41" s="12"/>
      <c r="J41" s="12"/>
      <c r="K41" s="12"/>
      <c r="L41" s="12"/>
      <c r="M41" s="12"/>
      <c r="N41" s="12"/>
      <c r="O41" s="12"/>
      <c r="P41" s="12">
        <v>70000</v>
      </c>
      <c r="Q41" s="12">
        <v>39291.4</v>
      </c>
      <c r="R41" s="12">
        <v>70000</v>
      </c>
      <c r="S41" s="30">
        <f>14594</f>
        <v>14594</v>
      </c>
      <c r="T41" s="34">
        <v>10000</v>
      </c>
      <c r="U41" s="12">
        <v>0</v>
      </c>
      <c r="V41" s="34">
        <v>5000</v>
      </c>
      <c r="W41" s="12">
        <v>4383.1000000000004</v>
      </c>
      <c r="X41" s="73">
        <v>8000000</v>
      </c>
      <c r="Y41" s="73">
        <v>5607159.5199999996</v>
      </c>
      <c r="Z41" s="73">
        <v>0</v>
      </c>
      <c r="AA41" s="83">
        <v>7905659.2199999997</v>
      </c>
    </row>
    <row r="42" spans="1:32" ht="39" x14ac:dyDescent="0.25">
      <c r="A42" s="92"/>
      <c r="B42" s="26" t="s">
        <v>60</v>
      </c>
      <c r="C42" s="12"/>
      <c r="D42" s="12"/>
      <c r="E42" s="33"/>
      <c r="F42" s="33"/>
      <c r="G42" s="33"/>
      <c r="H42" s="33"/>
      <c r="I42" s="12"/>
      <c r="J42" s="12"/>
      <c r="K42" s="12"/>
      <c r="L42" s="12"/>
      <c r="M42" s="12"/>
      <c r="N42" s="12"/>
      <c r="O42" s="12"/>
      <c r="P42" s="12"/>
      <c r="Q42" s="12"/>
      <c r="R42" s="12">
        <v>200000</v>
      </c>
      <c r="S42" s="35">
        <v>111205.3</v>
      </c>
      <c r="T42" s="34">
        <v>200000</v>
      </c>
      <c r="U42" s="12">
        <v>163438.9</v>
      </c>
      <c r="V42" s="34">
        <v>150000</v>
      </c>
      <c r="W42" s="12">
        <v>126861.5</v>
      </c>
      <c r="X42" s="73">
        <v>150000000</v>
      </c>
      <c r="Y42" s="73">
        <v>94656775.930000007</v>
      </c>
      <c r="Z42" s="73">
        <v>150000000</v>
      </c>
      <c r="AA42" s="83">
        <v>150000000</v>
      </c>
      <c r="AF42" s="36"/>
    </row>
    <row r="43" spans="1:32" x14ac:dyDescent="0.25">
      <c r="A43" s="92"/>
      <c r="B43" s="26" t="s">
        <v>61</v>
      </c>
      <c r="C43" s="12"/>
      <c r="D43" s="12"/>
      <c r="E43" s="33"/>
      <c r="F43" s="33"/>
      <c r="G43" s="33"/>
      <c r="H43" s="33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35"/>
      <c r="T43" s="34">
        <v>5500</v>
      </c>
      <c r="U43" s="12">
        <v>5500</v>
      </c>
      <c r="V43" s="34">
        <v>15300</v>
      </c>
      <c r="W43" s="12">
        <v>15300</v>
      </c>
      <c r="X43" s="73">
        <v>33000000</v>
      </c>
      <c r="Y43" s="73">
        <v>25249987</v>
      </c>
      <c r="Z43" s="73">
        <v>41900000</v>
      </c>
      <c r="AA43" s="83">
        <v>36148944</v>
      </c>
    </row>
    <row r="44" spans="1:32" x14ac:dyDescent="0.25">
      <c r="A44" s="93"/>
      <c r="B44" s="26" t="s">
        <v>108</v>
      </c>
      <c r="C44" s="12"/>
      <c r="D44" s="12"/>
      <c r="E44" s="33"/>
      <c r="F44" s="33"/>
      <c r="G44" s="33"/>
      <c r="H44" s="33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35"/>
      <c r="T44" s="34"/>
      <c r="U44" s="12"/>
      <c r="V44" s="34"/>
      <c r="W44" s="12"/>
      <c r="X44" s="73"/>
      <c r="Y44" s="73"/>
      <c r="Z44" s="73"/>
      <c r="AA44" s="83">
        <v>657377.91</v>
      </c>
    </row>
    <row r="45" spans="1:32" x14ac:dyDescent="0.25">
      <c r="A45" s="22">
        <v>4</v>
      </c>
      <c r="B45" s="23" t="s">
        <v>62</v>
      </c>
      <c r="C45" s="11">
        <v>112269.7</v>
      </c>
      <c r="D45" s="11">
        <v>86500</v>
      </c>
      <c r="E45" s="11">
        <v>160450</v>
      </c>
      <c r="F45" s="11">
        <v>219251</v>
      </c>
      <c r="G45" s="11">
        <v>233900</v>
      </c>
      <c r="H45" s="11">
        <v>351742</v>
      </c>
      <c r="I45" s="12">
        <v>178080.19999999998</v>
      </c>
      <c r="J45" s="11">
        <v>187873.8</v>
      </c>
      <c r="K45" s="11">
        <v>260906.9</v>
      </c>
      <c r="L45" s="11">
        <v>314535</v>
      </c>
      <c r="M45" s="11">
        <v>258075.39999999997</v>
      </c>
      <c r="N45" s="11">
        <v>292500</v>
      </c>
      <c r="O45" s="11">
        <f>12780.1+237336.2+37346.4</f>
        <v>287462.7</v>
      </c>
      <c r="P45" s="11">
        <v>285123</v>
      </c>
      <c r="Q45" s="11">
        <f>12817.6+230862.8+39803.5</f>
        <v>283483.90000000002</v>
      </c>
      <c r="R45" s="11">
        <v>235600</v>
      </c>
      <c r="S45" s="13">
        <f>8786.6+187191.1+38728.2</f>
        <v>234705.90000000002</v>
      </c>
      <c r="T45" s="12">
        <v>201000</v>
      </c>
      <c r="U45" s="12">
        <v>191608.40000000002</v>
      </c>
      <c r="V45" s="12">
        <v>201000</v>
      </c>
      <c r="W45" s="12">
        <f>11202.1+148590.9+35841.5</f>
        <v>195634.5</v>
      </c>
      <c r="X45" s="73">
        <v>181857000</v>
      </c>
      <c r="Y45" s="73">
        <f>10978576.03+130356999.97+36801567.08</f>
        <v>178137143.07999998</v>
      </c>
      <c r="Z45" s="73">
        <v>193257000</v>
      </c>
      <c r="AA45" s="83">
        <f>11311322.01+141757000+37646008.62</f>
        <v>190714330.63</v>
      </c>
    </row>
    <row r="46" spans="1:32" ht="25.5" x14ac:dyDescent="0.25">
      <c r="A46" s="37">
        <v>5</v>
      </c>
      <c r="B46" s="38" t="s">
        <v>92</v>
      </c>
      <c r="C46" s="11">
        <v>515754.3</v>
      </c>
      <c r="D46" s="11">
        <v>468308.30000000028</v>
      </c>
      <c r="E46" s="12">
        <v>319279.80000000028</v>
      </c>
      <c r="F46" s="12">
        <v>316817</v>
      </c>
      <c r="G46" s="12">
        <v>471172</v>
      </c>
      <c r="H46" s="12">
        <v>275806.70000000019</v>
      </c>
      <c r="I46" s="12">
        <v>256813.00000000114</v>
      </c>
      <c r="J46" s="39">
        <v>546356.5000000007</v>
      </c>
      <c r="K46" s="11">
        <v>255394.1</v>
      </c>
      <c r="L46" s="11">
        <v>264000</v>
      </c>
      <c r="M46" s="11">
        <v>268771.60000000003</v>
      </c>
      <c r="N46" s="11">
        <v>339710</v>
      </c>
      <c r="O46" s="11">
        <f>O9-O10-O15-O45</f>
        <v>266798.8</v>
      </c>
      <c r="P46" s="11">
        <f>P9-P10-P15-P45</f>
        <v>340960</v>
      </c>
      <c r="Q46" s="11">
        <f>Q9-Q10-Q15-Q45</f>
        <v>277713.99999999942</v>
      </c>
      <c r="R46" s="11">
        <f>R9-R10-R15-R45</f>
        <v>271040</v>
      </c>
      <c r="S46" s="13">
        <f>S9-S10-S15-S45</f>
        <v>238170.6999999996</v>
      </c>
      <c r="T46" s="12">
        <f>T9-T10-T14-T15-T45</f>
        <v>289640</v>
      </c>
      <c r="U46" s="12">
        <v>258072.29999999923</v>
      </c>
      <c r="V46" s="12">
        <f>V9-V10-V14-V15-V45</f>
        <v>299755</v>
      </c>
      <c r="W46" s="40">
        <f>W9-W10-W14-W15-W45</f>
        <v>251564.90000000224</v>
      </c>
      <c r="X46" s="73">
        <f>X9-X10-X14-X15-X45</f>
        <v>269930000</v>
      </c>
      <c r="Y46" s="73">
        <f>Y9-Y10-Y14-Y15-Y45</f>
        <v>4075805717.0300007</v>
      </c>
      <c r="Z46" s="73">
        <v>280850000</v>
      </c>
      <c r="AA46" s="83">
        <f>AA9-AA10-AA14-AA15-AA45</f>
        <v>207411129.35999978</v>
      </c>
    </row>
    <row r="47" spans="1:32" x14ac:dyDescent="0.25">
      <c r="A47" s="37">
        <v>6</v>
      </c>
      <c r="B47" s="38" t="s">
        <v>77</v>
      </c>
      <c r="C47" s="11"/>
      <c r="D47" s="11"/>
      <c r="E47" s="12"/>
      <c r="F47" s="12"/>
      <c r="G47" s="12"/>
      <c r="H47" s="12"/>
      <c r="I47" s="12"/>
      <c r="J47" s="12"/>
      <c r="K47" s="11"/>
      <c r="L47" s="11"/>
      <c r="M47" s="11"/>
      <c r="N47" s="11"/>
      <c r="O47" s="11"/>
      <c r="P47" s="11"/>
      <c r="Q47" s="11"/>
      <c r="R47" s="11"/>
      <c r="S47" s="41"/>
      <c r="T47" s="12"/>
      <c r="U47" s="12">
        <v>4000000</v>
      </c>
      <c r="V47" s="12"/>
      <c r="W47" s="12">
        <f>4000000</f>
        <v>4000000</v>
      </c>
      <c r="X47" s="73"/>
      <c r="Y47" s="73">
        <v>0</v>
      </c>
      <c r="Z47" s="73"/>
      <c r="AA47" s="83">
        <v>0</v>
      </c>
    </row>
    <row r="48" spans="1:32" x14ac:dyDescent="0.25">
      <c r="A48" s="37">
        <v>7</v>
      </c>
      <c r="B48" s="38" t="s">
        <v>79</v>
      </c>
      <c r="C48" s="11"/>
      <c r="D48" s="11"/>
      <c r="E48" s="12"/>
      <c r="F48" s="12"/>
      <c r="G48" s="12"/>
      <c r="H48" s="12"/>
      <c r="I48" s="12"/>
      <c r="J48" s="12"/>
      <c r="K48" s="11"/>
      <c r="L48" s="11"/>
      <c r="M48" s="11"/>
      <c r="N48" s="11"/>
      <c r="O48" s="11"/>
      <c r="P48" s="11"/>
      <c r="Q48" s="11"/>
      <c r="R48" s="11"/>
      <c r="S48" s="41"/>
      <c r="T48" s="12"/>
      <c r="U48" s="12"/>
      <c r="V48" s="12"/>
      <c r="W48" s="12">
        <v>1800000</v>
      </c>
      <c r="X48" s="73"/>
      <c r="Y48" s="73">
        <v>0</v>
      </c>
      <c r="Z48" s="73"/>
      <c r="AA48" s="83">
        <v>0</v>
      </c>
    </row>
    <row r="49" spans="1:27" x14ac:dyDescent="0.25">
      <c r="A49" s="37">
        <v>8</v>
      </c>
      <c r="B49" s="38" t="s">
        <v>80</v>
      </c>
      <c r="C49" s="11"/>
      <c r="D49" s="11"/>
      <c r="E49" s="12"/>
      <c r="F49" s="12"/>
      <c r="G49" s="12"/>
      <c r="H49" s="12"/>
      <c r="I49" s="12"/>
      <c r="J49" s="12"/>
      <c r="K49" s="11"/>
      <c r="L49" s="11"/>
      <c r="M49" s="11"/>
      <c r="N49" s="11"/>
      <c r="O49" s="11"/>
      <c r="P49" s="11"/>
      <c r="Q49" s="11"/>
      <c r="R49" s="11"/>
      <c r="S49" s="41"/>
      <c r="T49" s="12"/>
      <c r="U49" s="12"/>
      <c r="V49" s="12"/>
      <c r="W49" s="12">
        <f>3015000+2010000+502500+301500</f>
        <v>5829000</v>
      </c>
      <c r="X49" s="73"/>
      <c r="Y49" s="73">
        <v>1306500000</v>
      </c>
      <c r="Z49" s="73"/>
      <c r="AA49" s="83">
        <v>0</v>
      </c>
    </row>
    <row r="50" spans="1:27" x14ac:dyDescent="0.25">
      <c r="A50" s="37">
        <v>9</v>
      </c>
      <c r="B50" s="38" t="s">
        <v>82</v>
      </c>
      <c r="C50" s="11"/>
      <c r="D50" s="11"/>
      <c r="E50" s="12"/>
      <c r="F50" s="12"/>
      <c r="G50" s="12"/>
      <c r="H50" s="12"/>
      <c r="I50" s="12"/>
      <c r="J50" s="12"/>
      <c r="K50" s="11"/>
      <c r="L50" s="11"/>
      <c r="M50" s="11"/>
      <c r="N50" s="11"/>
      <c r="O50" s="11"/>
      <c r="P50" s="11"/>
      <c r="Q50" s="11"/>
      <c r="R50" s="11"/>
      <c r="S50" s="41"/>
      <c r="T50" s="12"/>
      <c r="U50" s="12"/>
      <c r="V50" s="12"/>
      <c r="W50" s="12">
        <v>78446.226639999993</v>
      </c>
      <c r="X50" s="73"/>
      <c r="Y50" s="73">
        <v>17112991.120000001</v>
      </c>
      <c r="Z50" s="73"/>
      <c r="AA50" s="83">
        <v>0</v>
      </c>
    </row>
    <row r="51" spans="1:27" x14ac:dyDescent="0.25">
      <c r="A51" s="37">
        <v>10</v>
      </c>
      <c r="B51" s="38" t="s">
        <v>84</v>
      </c>
      <c r="C51" s="11"/>
      <c r="D51" s="11"/>
      <c r="E51" s="12"/>
      <c r="F51" s="12"/>
      <c r="G51" s="12"/>
      <c r="H51" s="12"/>
      <c r="I51" s="12"/>
      <c r="J51" s="12"/>
      <c r="K51" s="11"/>
      <c r="L51" s="11"/>
      <c r="M51" s="11"/>
      <c r="N51" s="11"/>
      <c r="O51" s="11"/>
      <c r="P51" s="11"/>
      <c r="Q51" s="11"/>
      <c r="R51" s="11"/>
      <c r="S51" s="41"/>
      <c r="T51" s="12"/>
      <c r="U51" s="12"/>
      <c r="V51" s="12"/>
      <c r="W51" s="12">
        <f>500000+5000</f>
        <v>505000</v>
      </c>
      <c r="X51" s="73"/>
      <c r="Y51" s="73">
        <v>0</v>
      </c>
      <c r="Z51" s="73"/>
      <c r="AA51" s="83">
        <v>0</v>
      </c>
    </row>
    <row r="52" spans="1:27" ht="25.5" x14ac:dyDescent="0.25">
      <c r="A52" s="37">
        <v>11</v>
      </c>
      <c r="B52" s="38" t="s">
        <v>96</v>
      </c>
      <c r="C52" s="11"/>
      <c r="D52" s="11"/>
      <c r="E52" s="12"/>
      <c r="F52" s="12"/>
      <c r="G52" s="12"/>
      <c r="H52" s="12"/>
      <c r="I52" s="12"/>
      <c r="J52" s="12"/>
      <c r="K52" s="11"/>
      <c r="L52" s="11"/>
      <c r="M52" s="11"/>
      <c r="N52" s="11"/>
      <c r="O52" s="11"/>
      <c r="P52" s="11"/>
      <c r="Q52" s="11"/>
      <c r="R52" s="11"/>
      <c r="S52" s="41"/>
      <c r="T52" s="12"/>
      <c r="U52" s="12"/>
      <c r="V52" s="12"/>
      <c r="W52" s="12"/>
      <c r="X52" s="73"/>
      <c r="Y52" s="73"/>
      <c r="Z52" s="73">
        <v>100000000</v>
      </c>
      <c r="AA52" s="83">
        <v>8960130.5999999996</v>
      </c>
    </row>
    <row r="53" spans="1:27" x14ac:dyDescent="0.25">
      <c r="A53" s="37">
        <v>12</v>
      </c>
      <c r="B53" s="38" t="s">
        <v>100</v>
      </c>
      <c r="C53" s="11"/>
      <c r="D53" s="11"/>
      <c r="E53" s="12"/>
      <c r="F53" s="12"/>
      <c r="G53" s="12"/>
      <c r="H53" s="12"/>
      <c r="I53" s="12"/>
      <c r="J53" s="12"/>
      <c r="K53" s="11"/>
      <c r="L53" s="11"/>
      <c r="M53" s="11"/>
      <c r="N53" s="11"/>
      <c r="O53" s="11"/>
      <c r="P53" s="11"/>
      <c r="Q53" s="11"/>
      <c r="R53" s="11"/>
      <c r="S53" s="41"/>
      <c r="T53" s="12"/>
      <c r="U53" s="12"/>
      <c r="V53" s="12"/>
      <c r="W53" s="12"/>
      <c r="X53" s="73"/>
      <c r="Y53" s="73"/>
      <c r="Z53" s="73"/>
      <c r="AA53" s="83">
        <v>6200000000</v>
      </c>
    </row>
    <row r="54" spans="1:27" ht="25.5" x14ac:dyDescent="0.25">
      <c r="A54" s="37">
        <v>13</v>
      </c>
      <c r="B54" s="38" t="s">
        <v>106</v>
      </c>
      <c r="C54" s="11"/>
      <c r="D54" s="11"/>
      <c r="E54" s="12"/>
      <c r="F54" s="12"/>
      <c r="G54" s="12"/>
      <c r="H54" s="12"/>
      <c r="I54" s="12"/>
      <c r="J54" s="12"/>
      <c r="K54" s="11"/>
      <c r="L54" s="11"/>
      <c r="M54" s="11"/>
      <c r="N54" s="11"/>
      <c r="O54" s="11"/>
      <c r="P54" s="11"/>
      <c r="Q54" s="11"/>
      <c r="R54" s="11"/>
      <c r="S54" s="41"/>
      <c r="T54" s="12"/>
      <c r="U54" s="12"/>
      <c r="V54" s="12"/>
      <c r="W54" s="12"/>
      <c r="X54" s="73"/>
      <c r="Y54" s="73"/>
      <c r="Z54" s="73"/>
      <c r="AA54" s="83">
        <v>1005000</v>
      </c>
    </row>
    <row r="55" spans="1:27" x14ac:dyDescent="0.25">
      <c r="A55" s="42" t="s">
        <v>76</v>
      </c>
      <c r="B55" s="43" t="s">
        <v>105</v>
      </c>
      <c r="C55" s="11"/>
      <c r="D55" s="11"/>
      <c r="E55" s="12"/>
      <c r="F55" s="12"/>
      <c r="G55" s="12"/>
      <c r="H55" s="12"/>
      <c r="I55" s="12"/>
      <c r="J55" s="12"/>
      <c r="K55" s="11"/>
      <c r="L55" s="11"/>
      <c r="M55" s="11"/>
      <c r="N55" s="11"/>
      <c r="O55" s="11"/>
      <c r="P55" s="11"/>
      <c r="Q55" s="11"/>
      <c r="R55" s="11"/>
      <c r="S55" s="41"/>
      <c r="T55" s="12"/>
      <c r="U55" s="8">
        <v>10381215.1</v>
      </c>
      <c r="V55" s="12"/>
      <c r="W55" s="8">
        <f>W9+W47+W48+W49+W50+W51</f>
        <v>36053793.326639995</v>
      </c>
      <c r="X55" s="72"/>
      <c r="Y55" s="72">
        <f>Y9+Y47+Y48+Y49+Y50+Y51</f>
        <v>13308277934.340002</v>
      </c>
      <c r="Z55" s="72"/>
      <c r="AA55" s="82">
        <f>AA9+AA47+AA48+AA49+AA50+AA51+AA52+AA53+AA54</f>
        <v>14872045049.07</v>
      </c>
    </row>
    <row r="56" spans="1:27" x14ac:dyDescent="0.25">
      <c r="A56" s="44"/>
      <c r="B56" s="45"/>
      <c r="C56" s="46"/>
      <c r="D56" s="46"/>
      <c r="E56" s="14"/>
      <c r="F56" s="14"/>
      <c r="G56" s="14"/>
      <c r="H56" s="14"/>
      <c r="I56" s="14"/>
      <c r="J56" s="14"/>
      <c r="K56" s="46"/>
      <c r="L56" s="46"/>
      <c r="M56" s="46"/>
      <c r="N56" s="46"/>
      <c r="O56" s="46"/>
      <c r="P56" s="46"/>
      <c r="Q56" s="46"/>
      <c r="R56" s="46"/>
      <c r="S56" s="47"/>
      <c r="T56" s="48"/>
      <c r="U56" s="48"/>
      <c r="V56" s="48"/>
      <c r="W56" s="69"/>
      <c r="X56" s="49"/>
      <c r="Y56" s="49"/>
      <c r="Z56" s="49"/>
      <c r="AA56" s="79"/>
    </row>
    <row r="57" spans="1:27" x14ac:dyDescent="0.25">
      <c r="A57" s="37" t="s">
        <v>63</v>
      </c>
      <c r="B57" s="38" t="s">
        <v>64</v>
      </c>
      <c r="C57" s="50" t="s">
        <v>65</v>
      </c>
      <c r="D57" s="50" t="s">
        <v>65</v>
      </c>
      <c r="E57" s="50" t="s">
        <v>65</v>
      </c>
      <c r="F57" s="50" t="s">
        <v>65</v>
      </c>
      <c r="G57" s="50" t="s">
        <v>65</v>
      </c>
      <c r="H57" s="50" t="s">
        <v>65</v>
      </c>
      <c r="I57" s="50" t="s">
        <v>65</v>
      </c>
      <c r="J57" s="50" t="s">
        <v>65</v>
      </c>
      <c r="K57" s="11">
        <v>1699193.5</v>
      </c>
      <c r="L57" s="11"/>
      <c r="M57" s="50">
        <v>1905563.1</v>
      </c>
      <c r="N57" s="50" t="s">
        <v>65</v>
      </c>
      <c r="O57" s="50">
        <v>2179663.9</v>
      </c>
      <c r="P57" s="50"/>
      <c r="Q57" s="50">
        <v>2474779.7000000002</v>
      </c>
      <c r="R57" s="50"/>
      <c r="S57" s="51">
        <v>1897170</v>
      </c>
      <c r="T57" s="52"/>
      <c r="U57" s="12">
        <v>1063817.8</v>
      </c>
      <c r="V57" s="52"/>
      <c r="W57" s="12">
        <v>995310.5</v>
      </c>
      <c r="X57" s="12"/>
      <c r="Y57" s="73">
        <v>1290261422.8</v>
      </c>
      <c r="Z57" s="73"/>
      <c r="AA57" s="83">
        <v>1460411038.6199999</v>
      </c>
    </row>
    <row r="58" spans="1:27" x14ac:dyDescent="0.25">
      <c r="A58" s="37"/>
      <c r="B58" s="38" t="s">
        <v>66</v>
      </c>
      <c r="C58" s="50" t="s">
        <v>65</v>
      </c>
      <c r="D58" s="50" t="s">
        <v>65</v>
      </c>
      <c r="E58" s="50" t="s">
        <v>65</v>
      </c>
      <c r="F58" s="50" t="s">
        <v>65</v>
      </c>
      <c r="G58" s="50" t="s">
        <v>65</v>
      </c>
      <c r="H58" s="50" t="s">
        <v>65</v>
      </c>
      <c r="I58" s="50" t="s">
        <v>65</v>
      </c>
      <c r="J58" s="50" t="s">
        <v>65</v>
      </c>
      <c r="K58" s="53">
        <v>236896</v>
      </c>
      <c r="L58" s="53"/>
      <c r="M58" s="54">
        <v>275192</v>
      </c>
      <c r="N58" s="50" t="s">
        <v>65</v>
      </c>
      <c r="O58" s="54">
        <v>289007</v>
      </c>
      <c r="P58" s="54"/>
      <c r="Q58" s="54">
        <v>296283</v>
      </c>
      <c r="R58" s="54"/>
      <c r="S58" s="55">
        <v>221115</v>
      </c>
      <c r="T58" s="52"/>
      <c r="U58" s="56">
        <v>143828</v>
      </c>
      <c r="V58" s="52"/>
      <c r="W58" s="56">
        <v>109011</v>
      </c>
      <c r="X58" s="56"/>
      <c r="Y58" s="56">
        <v>134316</v>
      </c>
      <c r="Z58" s="56"/>
      <c r="AA58" s="87">
        <v>139417</v>
      </c>
    </row>
    <row r="59" spans="1:27" hidden="1" x14ac:dyDescent="0.25">
      <c r="A59" s="37"/>
      <c r="B59" s="38" t="s">
        <v>68</v>
      </c>
      <c r="C59" s="11">
        <v>897419</v>
      </c>
      <c r="D59" s="11">
        <v>969586.3</v>
      </c>
      <c r="E59" s="12">
        <v>1207432.5</v>
      </c>
      <c r="F59" s="12">
        <v>1486935</v>
      </c>
      <c r="G59" s="12">
        <v>1872672.5</v>
      </c>
      <c r="H59" s="12">
        <v>821964.2</v>
      </c>
      <c r="I59" s="12">
        <v>912255.4</v>
      </c>
      <c r="J59" s="12">
        <v>1131142.5</v>
      </c>
      <c r="K59" s="11">
        <v>1276252</v>
      </c>
      <c r="L59" s="11"/>
      <c r="M59" s="50">
        <v>1147152.3999999999</v>
      </c>
      <c r="N59" s="50" t="s">
        <v>65</v>
      </c>
      <c r="O59" s="50">
        <v>1261211.1000000001</v>
      </c>
      <c r="P59" s="50"/>
      <c r="Q59" s="50">
        <v>1411387.1</v>
      </c>
      <c r="R59" s="50"/>
      <c r="S59" s="51">
        <v>1097687.1000000001</v>
      </c>
      <c r="T59" s="52"/>
      <c r="U59" s="12">
        <v>588687.5</v>
      </c>
      <c r="V59" s="52"/>
      <c r="W59" s="12"/>
      <c r="X59" s="12"/>
      <c r="Y59" s="12"/>
      <c r="Z59" s="12"/>
      <c r="AA59" s="88"/>
    </row>
    <row r="60" spans="1:27" hidden="1" x14ac:dyDescent="0.25">
      <c r="A60" s="37"/>
      <c r="B60" s="38" t="s">
        <v>66</v>
      </c>
      <c r="C60" s="50" t="s">
        <v>65</v>
      </c>
      <c r="D60" s="50" t="s">
        <v>65</v>
      </c>
      <c r="E60" s="50" t="s">
        <v>65</v>
      </c>
      <c r="F60" s="50" t="s">
        <v>65</v>
      </c>
      <c r="G60" s="50" t="s">
        <v>65</v>
      </c>
      <c r="H60" s="56">
        <v>172005</v>
      </c>
      <c r="I60" s="56">
        <v>157136</v>
      </c>
      <c r="J60" s="56">
        <v>177078</v>
      </c>
      <c r="K60" s="53">
        <v>177268</v>
      </c>
      <c r="L60" s="53"/>
      <c r="M60" s="54">
        <v>173717</v>
      </c>
      <c r="N60" s="50" t="s">
        <v>65</v>
      </c>
      <c r="O60" s="54">
        <v>175705</v>
      </c>
      <c r="P60" s="54"/>
      <c r="Q60" s="54">
        <v>179001</v>
      </c>
      <c r="R60" s="54"/>
      <c r="S60" s="55">
        <v>134815</v>
      </c>
      <c r="T60" s="52"/>
      <c r="U60" s="56">
        <v>86002</v>
      </c>
      <c r="V60" s="52"/>
      <c r="W60" s="56"/>
      <c r="X60" s="56"/>
      <c r="Y60" s="56"/>
      <c r="Z60" s="56"/>
      <c r="AA60" s="87"/>
    </row>
    <row r="61" spans="1:27" x14ac:dyDescent="0.25">
      <c r="A61" s="37" t="s">
        <v>67</v>
      </c>
      <c r="B61" s="38" t="s">
        <v>70</v>
      </c>
      <c r="C61" s="50">
        <v>135094.1</v>
      </c>
      <c r="D61" s="50">
        <v>194129.9</v>
      </c>
      <c r="E61" s="50">
        <v>260238.6</v>
      </c>
      <c r="F61" s="50">
        <v>332333.40000000002</v>
      </c>
      <c r="G61" s="50">
        <v>509489</v>
      </c>
      <c r="H61" s="50">
        <v>272900.8</v>
      </c>
      <c r="I61" s="50">
        <v>377699.7</v>
      </c>
      <c r="J61" s="50">
        <v>501744.1</v>
      </c>
      <c r="K61" s="11">
        <v>509261.9</v>
      </c>
      <c r="L61" s="11"/>
      <c r="M61" s="50">
        <v>456376.2</v>
      </c>
      <c r="N61" s="50" t="s">
        <v>65</v>
      </c>
      <c r="O61" s="50">
        <v>488917.1</v>
      </c>
      <c r="P61" s="50"/>
      <c r="Q61" s="50">
        <v>458752.5</v>
      </c>
      <c r="R61" s="50"/>
      <c r="S61" s="51">
        <v>363423.2</v>
      </c>
      <c r="T61" s="52"/>
      <c r="U61" s="12">
        <v>251694.5</v>
      </c>
      <c r="V61" s="52"/>
      <c r="W61" s="12">
        <v>201220.9</v>
      </c>
      <c r="X61" s="12"/>
      <c r="Y61" s="73">
        <v>284463017.61000001</v>
      </c>
      <c r="Z61" s="73"/>
      <c r="AA61" s="83">
        <v>357880372.93000001</v>
      </c>
    </row>
    <row r="62" spans="1:27" x14ac:dyDescent="0.25">
      <c r="A62" s="37"/>
      <c r="B62" s="38" t="s">
        <v>66</v>
      </c>
      <c r="C62" s="50" t="s">
        <v>65</v>
      </c>
      <c r="D62" s="50" t="s">
        <v>65</v>
      </c>
      <c r="E62" s="50" t="s">
        <v>65</v>
      </c>
      <c r="F62" s="50" t="s">
        <v>65</v>
      </c>
      <c r="G62" s="50" t="s">
        <v>65</v>
      </c>
      <c r="H62" s="54">
        <v>55017</v>
      </c>
      <c r="I62" s="54">
        <v>64810</v>
      </c>
      <c r="J62" s="54">
        <v>79712</v>
      </c>
      <c r="K62" s="53">
        <v>71744</v>
      </c>
      <c r="L62" s="53"/>
      <c r="M62" s="54">
        <v>77199</v>
      </c>
      <c r="N62" s="50" t="s">
        <v>65</v>
      </c>
      <c r="O62" s="54">
        <v>81615</v>
      </c>
      <c r="P62" s="54"/>
      <c r="Q62" s="54">
        <v>73259</v>
      </c>
      <c r="R62" s="54"/>
      <c r="S62" s="55">
        <v>58277</v>
      </c>
      <c r="T62" s="52"/>
      <c r="U62" s="56">
        <v>43102</v>
      </c>
      <c r="V62" s="52"/>
      <c r="W62" s="56">
        <v>30865</v>
      </c>
      <c r="X62" s="56"/>
      <c r="Y62" s="56">
        <v>36164</v>
      </c>
      <c r="Z62" s="56"/>
      <c r="AA62" s="87">
        <v>41660</v>
      </c>
    </row>
    <row r="63" spans="1:27" x14ac:dyDescent="0.25">
      <c r="A63" s="37" t="s">
        <v>69</v>
      </c>
      <c r="B63" s="38" t="s">
        <v>78</v>
      </c>
      <c r="C63" s="50"/>
      <c r="D63" s="50"/>
      <c r="E63" s="50"/>
      <c r="F63" s="50"/>
      <c r="G63" s="50"/>
      <c r="H63" s="54"/>
      <c r="I63" s="54"/>
      <c r="J63" s="54"/>
      <c r="K63" s="53"/>
      <c r="L63" s="53"/>
      <c r="M63" s="54"/>
      <c r="N63" s="50"/>
      <c r="O63" s="54"/>
      <c r="P63" s="54"/>
      <c r="Q63" s="54"/>
      <c r="R63" s="54"/>
      <c r="S63" s="57"/>
      <c r="T63" s="52"/>
      <c r="U63" s="56"/>
      <c r="V63" s="52"/>
      <c r="W63" s="12">
        <v>379621.9</v>
      </c>
      <c r="X63" s="12"/>
      <c r="Y63" s="73">
        <v>616722190.22000003</v>
      </c>
      <c r="Z63" s="73"/>
      <c r="AA63" s="83">
        <v>703531558.84000003</v>
      </c>
    </row>
    <row r="64" spans="1:27" x14ac:dyDescent="0.25">
      <c r="A64" s="37"/>
      <c r="B64" s="38" t="s">
        <v>66</v>
      </c>
      <c r="C64" s="50"/>
      <c r="D64" s="50"/>
      <c r="E64" s="50"/>
      <c r="F64" s="50"/>
      <c r="G64" s="50"/>
      <c r="H64" s="54"/>
      <c r="I64" s="54"/>
      <c r="J64" s="54"/>
      <c r="K64" s="53"/>
      <c r="L64" s="53"/>
      <c r="M64" s="54"/>
      <c r="N64" s="50"/>
      <c r="O64" s="54"/>
      <c r="P64" s="54"/>
      <c r="Q64" s="54"/>
      <c r="R64" s="54"/>
      <c r="S64" s="57"/>
      <c r="T64" s="58"/>
      <c r="U64" s="56"/>
      <c r="V64" s="52"/>
      <c r="W64" s="56">
        <v>55167</v>
      </c>
      <c r="X64" s="56"/>
      <c r="Y64" s="56">
        <v>73597</v>
      </c>
      <c r="Z64" s="56"/>
      <c r="AA64" s="87">
        <v>78595</v>
      </c>
    </row>
    <row r="65" spans="1:27" x14ac:dyDescent="0.25">
      <c r="A65" s="59" t="s">
        <v>86</v>
      </c>
      <c r="D65" s="59"/>
      <c r="E65" s="59"/>
      <c r="M65" s="60"/>
      <c r="N65" s="60"/>
      <c r="O65" s="60"/>
      <c r="P65" s="60"/>
      <c r="Q65" s="61"/>
      <c r="R65" s="62"/>
      <c r="T65" s="63"/>
      <c r="X65" s="94" t="s">
        <v>107</v>
      </c>
      <c r="Y65" s="95"/>
      <c r="Z65" s="96"/>
      <c r="AA65" s="89">
        <v>15241876248.48</v>
      </c>
    </row>
    <row r="66" spans="1:27" ht="17.25" x14ac:dyDescent="0.3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64"/>
      <c r="N66" s="61"/>
      <c r="O66" s="61"/>
      <c r="P66" s="61"/>
      <c r="Q66" s="65"/>
      <c r="R66" s="61"/>
    </row>
    <row r="67" spans="1:27" ht="17.25" x14ac:dyDescent="0.3">
      <c r="B67" s="66" t="s">
        <v>87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67"/>
      <c r="Q67" s="21"/>
    </row>
    <row r="68" spans="1:27" x14ac:dyDescent="0.25">
      <c r="B68" s="68" t="s">
        <v>88</v>
      </c>
    </row>
    <row r="69" spans="1:27" x14ac:dyDescent="0.25">
      <c r="B69" s="68" t="s">
        <v>93</v>
      </c>
      <c r="I69" s="21"/>
      <c r="J69" s="21"/>
      <c r="K69" s="21"/>
      <c r="L69" s="21"/>
      <c r="M69" s="21"/>
      <c r="N69" s="21"/>
      <c r="O69" s="21"/>
      <c r="P69" s="21"/>
      <c r="Q69" s="21"/>
    </row>
    <row r="70" spans="1:27" x14ac:dyDescent="0.25"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1:27" x14ac:dyDescent="0.25">
      <c r="I71" s="21"/>
      <c r="J71" s="21"/>
      <c r="K71" s="21"/>
      <c r="L71" s="21"/>
      <c r="M71" s="21"/>
      <c r="N71" s="21"/>
      <c r="O71" s="21"/>
      <c r="P71" s="21"/>
      <c r="Q71" s="21"/>
    </row>
    <row r="73" spans="1:27" x14ac:dyDescent="0.25">
      <c r="I73" s="21"/>
      <c r="J73" s="21"/>
      <c r="K73" s="21"/>
      <c r="L73" s="21"/>
      <c r="M73" s="21"/>
      <c r="N73" s="21"/>
      <c r="O73" s="21"/>
      <c r="P73" s="21"/>
      <c r="Q73" s="21"/>
    </row>
  </sheetData>
  <mergeCells count="5">
    <mergeCell ref="A1:W1"/>
    <mergeCell ref="A16:A28"/>
    <mergeCell ref="A31:A36"/>
    <mergeCell ref="A37:A44"/>
    <mergeCell ref="X65:Z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grudzień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2024-11-19T14:52:18Z</dcterms:modified>
</cp:coreProperties>
</file>