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1" i="7" s="1"/>
  <c r="A66" i="7" l="1"/>
  <c r="A85" i="7"/>
  <c r="A30" i="7"/>
</calcChain>
</file>

<file path=xl/sharedStrings.xml><?xml version="1.0" encoding="utf-8"?>
<sst xmlns="http://schemas.openxmlformats.org/spreadsheetml/2006/main" count="97" uniqueCount="81">
  <si>
    <t>Wyszczególnienie</t>
  </si>
  <si>
    <t>sektora finansów publicznych (kol.5+7+8)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</si>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</sst>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7" xfId="0" applyFont="1" applyFill="1" applyBorder="1" applyAlignment="1">
      <alignment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4" width="12.42578125" style="2" customWidth="1"/>
    <col min="5" max="6" width="11.42578125" style="2" customWidth="1"/>
    <col min="7" max="7" width="12.7109375" style="2" customWidth="1"/>
    <col min="8" max="8" width="9.7109375" style="2" customWidth="1"/>
    <col min="9" max="9" width="10.7109375" style="2" customWidth="1"/>
    <col min="10" max="10" width="14" style="2" customWidth="1"/>
    <col min="11" max="11" width="12.140625" style="2" customWidth="1"/>
    <col min="12" max="12" width="11.42578125" style="2" customWidth="1"/>
    <col min="13" max="13" width="12" style="2" customWidth="1"/>
    <col min="14" max="14" width="11.7109375" style="2" customWidth="1"/>
    <col min="15" max="15" width="11.140625" style="2" customWidth="1"/>
    <col min="16" max="16" width="12.5703125" style="2" customWidth="1"/>
    <col min="17" max="16384" width="9.140625" style="2"/>
  </cols>
  <sheetData>
    <row r="1" spans="1:17" ht="75" customHeight="1" x14ac:dyDescent="0.2">
      <c r="A1" s="36" t="str">
        <f>CONCATENATE("Informacja z wykonania budżetów miast na prawach powiatu za  ",$C$93," ",$B$94," roku     ",$B$96,"")</f>
        <v xml:space="preserve">Informacja z wykonania budżetów miast na prawach powiatu za  II Kwartały 2022 roku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7" ht="13.5" customHeight="1" x14ac:dyDescent="0.2">
      <c r="B5" s="1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"/>
      <c r="O5" s="11"/>
      <c r="P5" s="11"/>
      <c r="Q5" s="11"/>
    </row>
    <row r="6" spans="1:17" ht="13.5" customHeight="1" x14ac:dyDescent="0.2">
      <c r="A6" s="26" t="s">
        <v>0</v>
      </c>
      <c r="B6" s="38" t="s">
        <v>65</v>
      </c>
      <c r="C6" s="50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68</v>
      </c>
      <c r="P6" s="51"/>
      <c r="Q6" s="52"/>
    </row>
    <row r="7" spans="1:17" ht="13.5" customHeight="1" x14ac:dyDescent="0.2">
      <c r="A7" s="27"/>
      <c r="B7" s="29"/>
      <c r="C7" s="30" t="s">
        <v>66</v>
      </c>
      <c r="D7" s="30" t="s">
        <v>1</v>
      </c>
      <c r="E7" s="30" t="s">
        <v>70</v>
      </c>
      <c r="F7" s="30" t="s">
        <v>71</v>
      </c>
      <c r="G7" s="30" t="s">
        <v>28</v>
      </c>
      <c r="H7" s="30" t="s">
        <v>29</v>
      </c>
      <c r="I7" s="44" t="s">
        <v>67</v>
      </c>
      <c r="J7" s="30" t="s">
        <v>17</v>
      </c>
      <c r="K7" s="30" t="s">
        <v>18</v>
      </c>
      <c r="L7" s="30" t="s">
        <v>19</v>
      </c>
      <c r="M7" s="30" t="s">
        <v>20</v>
      </c>
      <c r="N7" s="29" t="s">
        <v>21</v>
      </c>
      <c r="O7" s="31" t="s">
        <v>22</v>
      </c>
      <c r="P7" s="31" t="s">
        <v>23</v>
      </c>
      <c r="Q7" s="31" t="s">
        <v>24</v>
      </c>
    </row>
    <row r="8" spans="1:17" ht="13.5" customHeight="1" x14ac:dyDescent="0.2">
      <c r="A8" s="27"/>
      <c r="B8" s="29"/>
      <c r="C8" s="31"/>
      <c r="D8" s="31"/>
      <c r="E8" s="31"/>
      <c r="F8" s="31"/>
      <c r="G8" s="31"/>
      <c r="H8" s="31"/>
      <c r="I8" s="44"/>
      <c r="J8" s="31"/>
      <c r="K8" s="31"/>
      <c r="L8" s="31"/>
      <c r="M8" s="31"/>
      <c r="N8" s="29"/>
      <c r="O8" s="31"/>
      <c r="P8" s="31"/>
      <c r="Q8" s="31"/>
    </row>
    <row r="9" spans="1:17" ht="11.25" customHeight="1" x14ac:dyDescent="0.2">
      <c r="A9" s="27"/>
      <c r="B9" s="29"/>
      <c r="C9" s="31"/>
      <c r="D9" s="31"/>
      <c r="E9" s="31"/>
      <c r="F9" s="31"/>
      <c r="G9" s="31"/>
      <c r="H9" s="31"/>
      <c r="I9" s="44"/>
      <c r="J9" s="31"/>
      <c r="K9" s="31"/>
      <c r="L9" s="31"/>
      <c r="M9" s="31"/>
      <c r="N9" s="29"/>
      <c r="O9" s="31"/>
      <c r="P9" s="31"/>
      <c r="Q9" s="31"/>
    </row>
    <row r="10" spans="1:17" ht="11.25" customHeight="1" x14ac:dyDescent="0.2">
      <c r="A10" s="28"/>
      <c r="B10" s="30"/>
      <c r="C10" s="31"/>
      <c r="D10" s="31"/>
      <c r="E10" s="31"/>
      <c r="F10" s="31"/>
      <c r="G10" s="31"/>
      <c r="H10" s="31"/>
      <c r="I10" s="45"/>
      <c r="J10" s="31"/>
      <c r="K10" s="31"/>
      <c r="L10" s="31"/>
      <c r="M10" s="31"/>
      <c r="N10" s="30"/>
      <c r="O10" s="31"/>
      <c r="P10" s="31"/>
      <c r="Q10" s="31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77" t="s">
        <v>79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38.25" customHeight="1" x14ac:dyDescent="0.2">
      <c r="A13" s="20" t="s">
        <v>47</v>
      </c>
      <c r="B13" s="21">
        <f>43716609584.61</f>
        <v>43716609584.610001</v>
      </c>
      <c r="C13" s="21">
        <f>22191809217.86</f>
        <v>22191809217.860001</v>
      </c>
      <c r="D13" s="21">
        <f>466671147.56</f>
        <v>466671147.56</v>
      </c>
      <c r="E13" s="21">
        <f>6575.65</f>
        <v>6575.65</v>
      </c>
      <c r="F13" s="21">
        <f>255127877.07</f>
        <v>255127877.06999999</v>
      </c>
      <c r="G13" s="21">
        <f>211536694.84</f>
        <v>211536694.84</v>
      </c>
      <c r="H13" s="21">
        <f>0</f>
        <v>0</v>
      </c>
      <c r="I13" s="21">
        <f>0</f>
        <v>0</v>
      </c>
      <c r="J13" s="21">
        <f>19414092724.81</f>
        <v>19414092724.810001</v>
      </c>
      <c r="K13" s="21">
        <f>769491698.74</f>
        <v>769491698.74000001</v>
      </c>
      <c r="L13" s="21">
        <f>1528850719.77</f>
        <v>1528850719.77</v>
      </c>
      <c r="M13" s="21">
        <f>10271807.09</f>
        <v>10271807.09</v>
      </c>
      <c r="N13" s="21">
        <f>2431119.89</f>
        <v>2431119.89</v>
      </c>
      <c r="O13" s="21">
        <f>21524800366.75</f>
        <v>21524800366.75</v>
      </c>
      <c r="P13" s="21">
        <f>21239529354.96</f>
        <v>21239529354.959999</v>
      </c>
      <c r="Q13" s="21">
        <f>285271011.79</f>
        <v>285271011.79000002</v>
      </c>
    </row>
    <row r="14" spans="1:17" ht="38.25" customHeight="1" x14ac:dyDescent="0.2">
      <c r="A14" s="20" t="s">
        <v>48</v>
      </c>
      <c r="B14" s="21">
        <f>3510688000</f>
        <v>3510688000</v>
      </c>
      <c r="C14" s="21">
        <f>3510688000</f>
        <v>3510688000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3343188000</f>
        <v>3343188000</v>
      </c>
      <c r="K14" s="21">
        <f>167500000</f>
        <v>167500000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38.25" customHeight="1" x14ac:dyDescent="0.2">
      <c r="A15" s="18" t="s">
        <v>49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38.25" customHeight="1" x14ac:dyDescent="0.2">
      <c r="A16" s="18" t="s">
        <v>50</v>
      </c>
      <c r="B16" s="22">
        <f>3510688000</f>
        <v>3510688000</v>
      </c>
      <c r="C16" s="22">
        <f>3510688000</f>
        <v>3510688000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3343188000</f>
        <v>3343188000</v>
      </c>
      <c r="K16" s="22">
        <f>167500000</f>
        <v>167500000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8.25" customHeight="1" x14ac:dyDescent="0.2">
      <c r="A17" s="20" t="s">
        <v>51</v>
      </c>
      <c r="B17" s="21">
        <f>40184647178.26</f>
        <v>40184647178.260002</v>
      </c>
      <c r="C17" s="21">
        <f>18659846811.51</f>
        <v>18659846811.509998</v>
      </c>
      <c r="D17" s="21">
        <f>460693969.64</f>
        <v>460693969.63999999</v>
      </c>
      <c r="E17" s="21">
        <f>0</f>
        <v>0</v>
      </c>
      <c r="F17" s="21">
        <f>255126377.07</f>
        <v>255126377.06999999</v>
      </c>
      <c r="G17" s="21">
        <f>205567592.57</f>
        <v>205567592.56999999</v>
      </c>
      <c r="H17" s="21">
        <f>0</f>
        <v>0</v>
      </c>
      <c r="I17" s="21">
        <f>0</f>
        <v>0</v>
      </c>
      <c r="J17" s="21">
        <f>16070904724.81</f>
        <v>16070904724.809999</v>
      </c>
      <c r="K17" s="21">
        <f>601937264.9</f>
        <v>601937264.89999998</v>
      </c>
      <c r="L17" s="21">
        <f>1526172998.67</f>
        <v>1526172998.6700001</v>
      </c>
      <c r="M17" s="21">
        <f>137853.49</f>
        <v>137853.49</v>
      </c>
      <c r="N17" s="21">
        <f>0</f>
        <v>0</v>
      </c>
      <c r="O17" s="21">
        <f>21524800366.75</f>
        <v>21524800366.75</v>
      </c>
      <c r="P17" s="21">
        <f>21239529354.96</f>
        <v>21239529354.959999</v>
      </c>
      <c r="Q17" s="21">
        <f>285271011.79</f>
        <v>285271011.79000002</v>
      </c>
    </row>
    <row r="18" spans="1:17" ht="38.25" customHeight="1" x14ac:dyDescent="0.2">
      <c r="A18" s="18" t="s">
        <v>52</v>
      </c>
      <c r="B18" s="22">
        <f>63133149.65</f>
        <v>63133149.649999999</v>
      </c>
      <c r="C18" s="22">
        <f>63133149.65</f>
        <v>63133149.649999999</v>
      </c>
      <c r="D18" s="22">
        <f>0</f>
        <v>0</v>
      </c>
      <c r="E18" s="22">
        <f>0</f>
        <v>0</v>
      </c>
      <c r="F18" s="22">
        <f>0</f>
        <v>0</v>
      </c>
      <c r="G18" s="22">
        <f>0</f>
        <v>0</v>
      </c>
      <c r="H18" s="22">
        <f>0</f>
        <v>0</v>
      </c>
      <c r="I18" s="22">
        <f>0</f>
        <v>0</v>
      </c>
      <c r="J18" s="22">
        <f>63133149.65</f>
        <v>63133149.649999999</v>
      </c>
      <c r="K18" s="22">
        <f>0</f>
        <v>0</v>
      </c>
      <c r="L18" s="22">
        <f>0</f>
        <v>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38.25" customHeight="1" x14ac:dyDescent="0.2">
      <c r="A19" s="18" t="s">
        <v>53</v>
      </c>
      <c r="B19" s="22">
        <f>40121514028.61</f>
        <v>40121514028.610001</v>
      </c>
      <c r="C19" s="22">
        <f>18596713661.86</f>
        <v>18596713661.860001</v>
      </c>
      <c r="D19" s="22">
        <f>460693969.64</f>
        <v>460693969.63999999</v>
      </c>
      <c r="E19" s="22">
        <f>0</f>
        <v>0</v>
      </c>
      <c r="F19" s="22">
        <f>255126377.07</f>
        <v>255126377.06999999</v>
      </c>
      <c r="G19" s="22">
        <f>205567592.57</f>
        <v>205567592.56999999</v>
      </c>
      <c r="H19" s="22">
        <f>0</f>
        <v>0</v>
      </c>
      <c r="I19" s="22">
        <f>0</f>
        <v>0</v>
      </c>
      <c r="J19" s="22">
        <f>16007771575.16</f>
        <v>16007771575.16</v>
      </c>
      <c r="K19" s="22">
        <f>601937264.9</f>
        <v>601937264.89999998</v>
      </c>
      <c r="L19" s="22">
        <f>1526172998.67</f>
        <v>1526172998.6700001</v>
      </c>
      <c r="M19" s="22">
        <f>137853.49</f>
        <v>137853.49</v>
      </c>
      <c r="N19" s="22">
        <f>0</f>
        <v>0</v>
      </c>
      <c r="O19" s="22">
        <f>21524800366.75</f>
        <v>21524800366.75</v>
      </c>
      <c r="P19" s="22">
        <f>21239529354.96</f>
        <v>21239529354.959999</v>
      </c>
      <c r="Q19" s="22">
        <f>285271011.79</f>
        <v>285271011.79000002</v>
      </c>
    </row>
    <row r="20" spans="1:17" ht="38.25" customHeight="1" x14ac:dyDescent="0.2">
      <c r="A20" s="20" t="s">
        <v>54</v>
      </c>
      <c r="B20" s="21">
        <f>0</f>
        <v>0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0</f>
        <v>0</v>
      </c>
      <c r="O20" s="21">
        <f>0</f>
        <v>0</v>
      </c>
      <c r="P20" s="21">
        <f>0</f>
        <v>0</v>
      </c>
      <c r="Q20" s="21">
        <f>0</f>
        <v>0</v>
      </c>
    </row>
    <row r="21" spans="1:17" ht="38.25" customHeight="1" x14ac:dyDescent="0.2">
      <c r="A21" s="20" t="s">
        <v>80</v>
      </c>
      <c r="B21" s="21">
        <f>21274406.35</f>
        <v>21274406.350000001</v>
      </c>
      <c r="C21" s="21">
        <f>21274406.35</f>
        <v>21274406.350000001</v>
      </c>
      <c r="D21" s="21">
        <f>5977177.92</f>
        <v>5977177.9199999999</v>
      </c>
      <c r="E21" s="21">
        <f>6575.65</f>
        <v>6575.65</v>
      </c>
      <c r="F21" s="21">
        <f>1500</f>
        <v>1500</v>
      </c>
      <c r="G21" s="21">
        <f>5969102.27</f>
        <v>5969102.2699999996</v>
      </c>
      <c r="H21" s="21">
        <f>0</f>
        <v>0</v>
      </c>
      <c r="I21" s="21">
        <f>0</f>
        <v>0</v>
      </c>
      <c r="J21" s="21">
        <f>0</f>
        <v>0</v>
      </c>
      <c r="K21" s="21">
        <f>54433.84</f>
        <v>54433.84</v>
      </c>
      <c r="L21" s="21">
        <f>2677721.1</f>
        <v>2677721.1</v>
      </c>
      <c r="M21" s="21">
        <f>10133953.6</f>
        <v>10133953.6</v>
      </c>
      <c r="N21" s="21">
        <f>2431119.89</f>
        <v>2431119.89</v>
      </c>
      <c r="O21" s="21">
        <f>0</f>
        <v>0</v>
      </c>
      <c r="P21" s="21">
        <f>0</f>
        <v>0</v>
      </c>
      <c r="Q21" s="21">
        <f>0</f>
        <v>0</v>
      </c>
    </row>
    <row r="22" spans="1:17" ht="38.25" customHeight="1" x14ac:dyDescent="0.2">
      <c r="A22" s="18" t="s">
        <v>55</v>
      </c>
      <c r="B22" s="22">
        <f>14275087.26</f>
        <v>14275087.26</v>
      </c>
      <c r="C22" s="22">
        <f>14275087.26</f>
        <v>14275087.26</v>
      </c>
      <c r="D22" s="22">
        <f>2767850.15</f>
        <v>2767850.15</v>
      </c>
      <c r="E22" s="22">
        <f>155.48</f>
        <v>155.47999999999999</v>
      </c>
      <c r="F22" s="22">
        <f>0</f>
        <v>0</v>
      </c>
      <c r="G22" s="22">
        <f>2767694.67</f>
        <v>2767694.67</v>
      </c>
      <c r="H22" s="22">
        <f>0</f>
        <v>0</v>
      </c>
      <c r="I22" s="22">
        <f>0</f>
        <v>0</v>
      </c>
      <c r="J22" s="22">
        <f>0</f>
        <v>0</v>
      </c>
      <c r="K22" s="22">
        <f>54433.84</f>
        <v>54433.84</v>
      </c>
      <c r="L22" s="22">
        <f>50068.81</f>
        <v>50068.81</v>
      </c>
      <c r="M22" s="22">
        <f>8981297.87</f>
        <v>8981297.8699999992</v>
      </c>
      <c r="N22" s="22">
        <f>2421436.59</f>
        <v>2421436.59</v>
      </c>
      <c r="O22" s="22">
        <f>0</f>
        <v>0</v>
      </c>
      <c r="P22" s="22">
        <f>0</f>
        <v>0</v>
      </c>
      <c r="Q22" s="22">
        <f>0</f>
        <v>0</v>
      </c>
    </row>
    <row r="23" spans="1:17" ht="38.25" customHeight="1" x14ac:dyDescent="0.2">
      <c r="A23" s="18" t="s">
        <v>56</v>
      </c>
      <c r="B23" s="22">
        <f>6999319.09</f>
        <v>6999319.0899999999</v>
      </c>
      <c r="C23" s="22">
        <f>6999319.09</f>
        <v>6999319.0899999999</v>
      </c>
      <c r="D23" s="22">
        <f>3209327.77</f>
        <v>3209327.77</v>
      </c>
      <c r="E23" s="22">
        <f>6420.17</f>
        <v>6420.17</v>
      </c>
      <c r="F23" s="22">
        <f>1500</f>
        <v>1500</v>
      </c>
      <c r="G23" s="22">
        <f>3201407.6</f>
        <v>3201407.6</v>
      </c>
      <c r="H23" s="22">
        <f>0</f>
        <v>0</v>
      </c>
      <c r="I23" s="22">
        <f>0</f>
        <v>0</v>
      </c>
      <c r="J23" s="22">
        <f>0</f>
        <v>0</v>
      </c>
      <c r="K23" s="22">
        <f>0</f>
        <v>0</v>
      </c>
      <c r="L23" s="22">
        <f>2627652.29</f>
        <v>2627652.29</v>
      </c>
      <c r="M23" s="22">
        <f>1152655.73</f>
        <v>1152655.73</v>
      </c>
      <c r="N23" s="22">
        <f>9683.3</f>
        <v>9683.2999999999993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9.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45.75" customHeight="1" x14ac:dyDescent="0.2">
      <c r="A30" s="36" t="str">
        <f>CONCATENATE("Informacja z wykonania budżetów miast na prawach powiatu za  ",$C$93," ",$B$94," roku     ",$B$96,"")</f>
        <v xml:space="preserve">Informacja z wykonania budżetów miast na prawach powiatu za  II Kwartały 2022 roku     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2" spans="1:17" ht="13.5" customHeight="1" x14ac:dyDescent="0.2">
      <c r="A32" s="37" t="s">
        <v>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4" spans="1:17" ht="13.5" customHeight="1" x14ac:dyDescent="0.2">
      <c r="A34" s="26" t="s">
        <v>0</v>
      </c>
      <c r="B34" s="38" t="s">
        <v>13</v>
      </c>
      <c r="C34" s="3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3" t="s">
        <v>25</v>
      </c>
      <c r="P34" s="34"/>
      <c r="Q34" s="35"/>
    </row>
    <row r="35" spans="1:17" ht="13.5" customHeight="1" x14ac:dyDescent="0.2">
      <c r="A35" s="27"/>
      <c r="B35" s="29"/>
      <c r="C35" s="29" t="s">
        <v>14</v>
      </c>
      <c r="D35" s="31" t="s">
        <v>16</v>
      </c>
      <c r="E35" s="31" t="s">
        <v>26</v>
      </c>
      <c r="F35" s="31" t="s">
        <v>27</v>
      </c>
      <c r="G35" s="31" t="s">
        <v>75</v>
      </c>
      <c r="H35" s="31" t="s">
        <v>29</v>
      </c>
      <c r="I35" s="31" t="s">
        <v>2</v>
      </c>
      <c r="J35" s="31" t="s">
        <v>17</v>
      </c>
      <c r="K35" s="31" t="s">
        <v>18</v>
      </c>
      <c r="L35" s="31" t="s">
        <v>19</v>
      </c>
      <c r="M35" s="31" t="s">
        <v>20</v>
      </c>
      <c r="N35" s="75" t="s">
        <v>21</v>
      </c>
      <c r="O35" s="31" t="s">
        <v>22</v>
      </c>
      <c r="P35" s="31" t="s">
        <v>23</v>
      </c>
      <c r="Q35" s="38" t="s">
        <v>24</v>
      </c>
    </row>
    <row r="36" spans="1:17" ht="11.25" customHeight="1" x14ac:dyDescent="0.2">
      <c r="A36" s="27"/>
      <c r="B36" s="29"/>
      <c r="C36" s="29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5"/>
      <c r="O36" s="31"/>
      <c r="P36" s="31"/>
      <c r="Q36" s="29"/>
    </row>
    <row r="37" spans="1:17" ht="24.75" customHeight="1" x14ac:dyDescent="0.2">
      <c r="A37" s="2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5"/>
      <c r="O37" s="31"/>
      <c r="P37" s="31"/>
      <c r="Q37" s="30"/>
    </row>
    <row r="38" spans="1:17" ht="13.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2.75" customHeight="1" x14ac:dyDescent="0.2">
      <c r="A39" s="13"/>
      <c r="B39" s="61" t="s">
        <v>79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62"/>
    </row>
    <row r="40" spans="1:17" ht="26.25" customHeight="1" x14ac:dyDescent="0.2">
      <c r="A40" s="25" t="s">
        <v>42</v>
      </c>
      <c r="B40" s="23">
        <f>108849.9</f>
        <v>108849.9</v>
      </c>
      <c r="C40" s="23">
        <f>108849.9</f>
        <v>108849.9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0</f>
        <v>0</v>
      </c>
      <c r="K40" s="23">
        <f>0</f>
        <v>0</v>
      </c>
      <c r="L40" s="23">
        <f>108849.9</f>
        <v>108849.9</v>
      </c>
      <c r="M40" s="23">
        <f>0</f>
        <v>0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6.25" customHeight="1" x14ac:dyDescent="0.2">
      <c r="A41" s="19" t="s">
        <v>30</v>
      </c>
      <c r="B41" s="24">
        <f>0</f>
        <v>0</v>
      </c>
      <c r="C41" s="24">
        <f>0</f>
        <v>0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0</f>
        <v>0</v>
      </c>
      <c r="K41" s="24">
        <f>0</f>
        <v>0</v>
      </c>
      <c r="L41" s="24">
        <f>0</f>
        <v>0</v>
      </c>
      <c r="M41" s="24">
        <f>0</f>
        <v>0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6.25" customHeight="1" x14ac:dyDescent="0.2">
      <c r="A42" s="19" t="s">
        <v>31</v>
      </c>
      <c r="B42" s="24">
        <f>108849.9</f>
        <v>108849.9</v>
      </c>
      <c r="C42" s="24">
        <f>108849.9</f>
        <v>108849.9</v>
      </c>
      <c r="D42" s="24">
        <f>0</f>
        <v>0</v>
      </c>
      <c r="E42" s="24">
        <f>0</f>
        <v>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108849.9</f>
        <v>108849.9</v>
      </c>
      <c r="M42" s="24">
        <f>0</f>
        <v>0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6.25" customHeight="1" x14ac:dyDescent="0.2">
      <c r="A43" s="25" t="s">
        <v>43</v>
      </c>
      <c r="B43" s="23">
        <f>385584888.49</f>
        <v>385584888.49000001</v>
      </c>
      <c r="C43" s="23">
        <f>385584888.49</f>
        <v>385584888.49000001</v>
      </c>
      <c r="D43" s="23">
        <f>128404625.98</f>
        <v>128404625.98</v>
      </c>
      <c r="E43" s="23">
        <f>74021</f>
        <v>74021</v>
      </c>
      <c r="F43" s="23">
        <f>17222.5</f>
        <v>17222.5</v>
      </c>
      <c r="G43" s="23">
        <f>128313382.48</f>
        <v>128313382.48</v>
      </c>
      <c r="H43" s="23">
        <f>0</f>
        <v>0</v>
      </c>
      <c r="I43" s="23">
        <f>0</f>
        <v>0</v>
      </c>
      <c r="J43" s="23">
        <f>0</f>
        <v>0</v>
      </c>
      <c r="K43" s="23">
        <f>154560</f>
        <v>154560</v>
      </c>
      <c r="L43" s="23">
        <f>172609694.22</f>
        <v>172609694.22</v>
      </c>
      <c r="M43" s="23">
        <f>78937261.98</f>
        <v>78937261.980000004</v>
      </c>
      <c r="N43" s="23">
        <f>5478746.31</f>
        <v>5478746.3099999996</v>
      </c>
      <c r="O43" s="23">
        <f>0</f>
        <v>0</v>
      </c>
      <c r="P43" s="23">
        <f>0</f>
        <v>0</v>
      </c>
      <c r="Q43" s="23">
        <f>0</f>
        <v>0</v>
      </c>
    </row>
    <row r="44" spans="1:17" ht="26.25" customHeight="1" x14ac:dyDescent="0.2">
      <c r="A44" s="19" t="s">
        <v>32</v>
      </c>
      <c r="B44" s="24">
        <f>55507137.25</f>
        <v>55507137.25</v>
      </c>
      <c r="C44" s="24">
        <f>55507137.25</f>
        <v>55507137.25</v>
      </c>
      <c r="D44" s="24">
        <f>17335782.05</f>
        <v>17335782.050000001</v>
      </c>
      <c r="E44" s="24">
        <f>74021</f>
        <v>74021</v>
      </c>
      <c r="F44" s="24">
        <f>0</f>
        <v>0</v>
      </c>
      <c r="G44" s="24">
        <f>17261761.05</f>
        <v>17261761.050000001</v>
      </c>
      <c r="H44" s="24">
        <f>0</f>
        <v>0</v>
      </c>
      <c r="I44" s="24">
        <f>0</f>
        <v>0</v>
      </c>
      <c r="J44" s="24">
        <f>0</f>
        <v>0</v>
      </c>
      <c r="K44" s="24">
        <f>154560</f>
        <v>154560</v>
      </c>
      <c r="L44" s="24">
        <f>17973717.94</f>
        <v>17973717.940000001</v>
      </c>
      <c r="M44" s="24">
        <f>18795077.26</f>
        <v>18795077.260000002</v>
      </c>
      <c r="N44" s="24">
        <f>1248000</f>
        <v>1248000</v>
      </c>
      <c r="O44" s="24">
        <f>0</f>
        <v>0</v>
      </c>
      <c r="P44" s="24">
        <f>0</f>
        <v>0</v>
      </c>
      <c r="Q44" s="24">
        <f>0</f>
        <v>0</v>
      </c>
    </row>
    <row r="45" spans="1:17" ht="26.25" customHeight="1" x14ac:dyDescent="0.2">
      <c r="A45" s="19" t="s">
        <v>33</v>
      </c>
      <c r="B45" s="24">
        <f>330077751.24</f>
        <v>330077751.24000001</v>
      </c>
      <c r="C45" s="24">
        <f>330077751.24</f>
        <v>330077751.24000001</v>
      </c>
      <c r="D45" s="24">
        <f>111068843.93</f>
        <v>111068843.93000001</v>
      </c>
      <c r="E45" s="24">
        <f>0</f>
        <v>0</v>
      </c>
      <c r="F45" s="24">
        <f>17222.5</f>
        <v>17222.5</v>
      </c>
      <c r="G45" s="24">
        <f>111051621.43</f>
        <v>111051621.43000001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154635976.28</f>
        <v>154635976.28</v>
      </c>
      <c r="M45" s="24">
        <f>60142184.72</f>
        <v>60142184.719999999</v>
      </c>
      <c r="N45" s="24">
        <f>4230746.31</f>
        <v>4230746.3099999996</v>
      </c>
      <c r="O45" s="24">
        <f>0</f>
        <v>0</v>
      </c>
      <c r="P45" s="24">
        <f>0</f>
        <v>0</v>
      </c>
      <c r="Q45" s="24">
        <f>0</f>
        <v>0</v>
      </c>
    </row>
    <row r="46" spans="1:17" ht="26.25" customHeight="1" x14ac:dyDescent="0.2">
      <c r="A46" s="25" t="s">
        <v>44</v>
      </c>
      <c r="B46" s="23">
        <f>16894644133.76</f>
        <v>16894644133.76</v>
      </c>
      <c r="C46" s="23">
        <f>16894644133.76</f>
        <v>16894644133.76</v>
      </c>
      <c r="D46" s="23">
        <f>17078414.61</f>
        <v>17078414.609999999</v>
      </c>
      <c r="E46" s="23">
        <f>68343.42</f>
        <v>68343.42</v>
      </c>
      <c r="F46" s="23">
        <f>28836.81</f>
        <v>28836.81</v>
      </c>
      <c r="G46" s="23">
        <f>16981234.38</f>
        <v>16981234.379999999</v>
      </c>
      <c r="H46" s="23">
        <f>0</f>
        <v>0</v>
      </c>
      <c r="I46" s="23">
        <f>11212232.34</f>
        <v>11212232.34</v>
      </c>
      <c r="J46" s="23">
        <f>16863842924.72</f>
        <v>16863842924.719999</v>
      </c>
      <c r="K46" s="23">
        <f>38989.95</f>
        <v>38989.949999999997</v>
      </c>
      <c r="L46" s="23">
        <f>2292166.88</f>
        <v>2292166.88</v>
      </c>
      <c r="M46" s="23">
        <f>22390</f>
        <v>22390</v>
      </c>
      <c r="N46" s="23">
        <f>157015.26</f>
        <v>157015.26</v>
      </c>
      <c r="O46" s="23">
        <f>0</f>
        <v>0</v>
      </c>
      <c r="P46" s="23">
        <f>0</f>
        <v>0</v>
      </c>
      <c r="Q46" s="23">
        <f>0</f>
        <v>0</v>
      </c>
    </row>
    <row r="47" spans="1:17" ht="26.25" customHeight="1" x14ac:dyDescent="0.2">
      <c r="A47" s="19" t="s">
        <v>34</v>
      </c>
      <c r="B47" s="24">
        <f>8475680.73</f>
        <v>8475680.7300000004</v>
      </c>
      <c r="C47" s="24">
        <f>8475680.73</f>
        <v>8475680.7300000004</v>
      </c>
      <c r="D47" s="24">
        <f>8475680.73</f>
        <v>8475680.7300000004</v>
      </c>
      <c r="E47" s="24">
        <f>0</f>
        <v>0</v>
      </c>
      <c r="F47" s="24">
        <f>0</f>
        <v>0</v>
      </c>
      <c r="G47" s="24">
        <f>8475680.73</f>
        <v>8475680.7300000004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6.25" customHeight="1" x14ac:dyDescent="0.2">
      <c r="A48" s="19" t="s">
        <v>35</v>
      </c>
      <c r="B48" s="24">
        <f>9443694698.71</f>
        <v>9443694698.7099991</v>
      </c>
      <c r="C48" s="24">
        <f>9443694698.71</f>
        <v>9443694698.7099991</v>
      </c>
      <c r="D48" s="24">
        <f>8411105.65</f>
        <v>8411105.6500000004</v>
      </c>
      <c r="E48" s="24">
        <f>14000</f>
        <v>14000</v>
      </c>
      <c r="F48" s="24">
        <f>545.81</f>
        <v>545.80999999999995</v>
      </c>
      <c r="G48" s="24">
        <f>8396559.84</f>
        <v>8396559.8399999999</v>
      </c>
      <c r="H48" s="24">
        <f>0</f>
        <v>0</v>
      </c>
      <c r="I48" s="24">
        <f>11159816.34</f>
        <v>11159816.34</v>
      </c>
      <c r="J48" s="24">
        <f>9423258455.56</f>
        <v>9423258455.5599995</v>
      </c>
      <c r="K48" s="24">
        <f>38989.95</f>
        <v>38989.949999999997</v>
      </c>
      <c r="L48" s="24">
        <f>826331.21</f>
        <v>826331.21</v>
      </c>
      <c r="M48" s="24">
        <f>0</f>
        <v>0</v>
      </c>
      <c r="N48" s="24">
        <f>0</f>
        <v>0</v>
      </c>
      <c r="O48" s="24">
        <f>0</f>
        <v>0</v>
      </c>
      <c r="P48" s="24">
        <f>0</f>
        <v>0</v>
      </c>
      <c r="Q48" s="24">
        <f>0</f>
        <v>0</v>
      </c>
    </row>
    <row r="49" spans="1:17" ht="26.25" customHeight="1" x14ac:dyDescent="0.2">
      <c r="A49" s="19" t="s">
        <v>36</v>
      </c>
      <c r="B49" s="24">
        <f>7442473754.32</f>
        <v>7442473754.3199997</v>
      </c>
      <c r="C49" s="24">
        <f>7442473754.32</f>
        <v>7442473754.3199997</v>
      </c>
      <c r="D49" s="24">
        <f>191628.23</f>
        <v>191628.23</v>
      </c>
      <c r="E49" s="24">
        <f>54343.42</f>
        <v>54343.42</v>
      </c>
      <c r="F49" s="24">
        <f>28291</f>
        <v>28291</v>
      </c>
      <c r="G49" s="24">
        <f>108993.81</f>
        <v>108993.81</v>
      </c>
      <c r="H49" s="24">
        <f>0</f>
        <v>0</v>
      </c>
      <c r="I49" s="24">
        <f>52416</f>
        <v>52416</v>
      </c>
      <c r="J49" s="24">
        <f>7440584469.16</f>
        <v>7440584469.1599998</v>
      </c>
      <c r="K49" s="24">
        <f>0</f>
        <v>0</v>
      </c>
      <c r="L49" s="24">
        <f>1465835.67</f>
        <v>1465835.67</v>
      </c>
      <c r="M49" s="24">
        <f>22390</f>
        <v>22390</v>
      </c>
      <c r="N49" s="24">
        <f>157015.26</f>
        <v>157015.26</v>
      </c>
      <c r="O49" s="24">
        <f>0</f>
        <v>0</v>
      </c>
      <c r="P49" s="24">
        <f>0</f>
        <v>0</v>
      </c>
      <c r="Q49" s="24">
        <f>0</f>
        <v>0</v>
      </c>
    </row>
    <row r="50" spans="1:17" ht="26.25" customHeight="1" x14ac:dyDescent="0.2">
      <c r="A50" s="25" t="s">
        <v>45</v>
      </c>
      <c r="B50" s="23">
        <f>11986849015.68</f>
        <v>11986849015.68</v>
      </c>
      <c r="C50" s="23">
        <f>11961886685.64</f>
        <v>11961886685.639999</v>
      </c>
      <c r="D50" s="23">
        <f>371007065.93</f>
        <v>371007065.93000001</v>
      </c>
      <c r="E50" s="23">
        <f>65745162.72</f>
        <v>65745162.719999999</v>
      </c>
      <c r="F50" s="23">
        <f>8600114.72</f>
        <v>8600114.7200000007</v>
      </c>
      <c r="G50" s="23">
        <f>295831799.69</f>
        <v>295831799.69</v>
      </c>
      <c r="H50" s="23">
        <f>829988.8</f>
        <v>829988.8</v>
      </c>
      <c r="I50" s="23">
        <f>658.67</f>
        <v>658.67</v>
      </c>
      <c r="J50" s="23">
        <f>559805.78</f>
        <v>559805.78</v>
      </c>
      <c r="K50" s="23">
        <f>2565871.95</f>
        <v>2565871.9500000002</v>
      </c>
      <c r="L50" s="23">
        <f>2613634032.88</f>
        <v>2613634032.8800001</v>
      </c>
      <c r="M50" s="23">
        <f>8899829563.31</f>
        <v>8899829563.3099995</v>
      </c>
      <c r="N50" s="23">
        <f>74289687.12</f>
        <v>74289687.120000005</v>
      </c>
      <c r="O50" s="23">
        <f>24962330.04</f>
        <v>24962330.039999999</v>
      </c>
      <c r="P50" s="23">
        <f>13829880.83</f>
        <v>13829880.83</v>
      </c>
      <c r="Q50" s="23">
        <f>11132449.21</f>
        <v>11132449.210000001</v>
      </c>
    </row>
    <row r="51" spans="1:17" ht="26.25" customHeight="1" x14ac:dyDescent="0.2">
      <c r="A51" s="19" t="s">
        <v>37</v>
      </c>
      <c r="B51" s="24">
        <f>5016877591.45</f>
        <v>5016877591.4499998</v>
      </c>
      <c r="C51" s="24">
        <f>5014658889.97</f>
        <v>5014658889.9700003</v>
      </c>
      <c r="D51" s="24">
        <f>75073839.14</f>
        <v>75073839.140000001</v>
      </c>
      <c r="E51" s="24">
        <f>1149544.48</f>
        <v>1149544.48</v>
      </c>
      <c r="F51" s="24">
        <f>3040840.99</f>
        <v>3040840.99</v>
      </c>
      <c r="G51" s="24">
        <f>70882627.28</f>
        <v>70882627.280000001</v>
      </c>
      <c r="H51" s="24">
        <f>826.39</f>
        <v>826.39</v>
      </c>
      <c r="I51" s="24">
        <f>0</f>
        <v>0</v>
      </c>
      <c r="J51" s="24">
        <f>49446.04</f>
        <v>49446.04</v>
      </c>
      <c r="K51" s="24">
        <f>406394.27</f>
        <v>406394.27</v>
      </c>
      <c r="L51" s="24">
        <f>702309042.83</f>
        <v>702309042.83000004</v>
      </c>
      <c r="M51" s="24">
        <f>4199808130.99</f>
        <v>4199808130.9899998</v>
      </c>
      <c r="N51" s="24">
        <f>37012036.7</f>
        <v>37012036.700000003</v>
      </c>
      <c r="O51" s="24">
        <f>2218701.48</f>
        <v>2218701.48</v>
      </c>
      <c r="P51" s="24">
        <f>536002.37</f>
        <v>536002.37</v>
      </c>
      <c r="Q51" s="24">
        <f>1682699.11</f>
        <v>1682699.11</v>
      </c>
    </row>
    <row r="52" spans="1:17" ht="26.25" customHeight="1" x14ac:dyDescent="0.2">
      <c r="A52" s="19" t="s">
        <v>38</v>
      </c>
      <c r="B52" s="24">
        <f>6969971424.23</f>
        <v>6969971424.2299995</v>
      </c>
      <c r="C52" s="24">
        <f>6947227795.67</f>
        <v>6947227795.6700001</v>
      </c>
      <c r="D52" s="24">
        <f>295933226.79</f>
        <v>295933226.79000002</v>
      </c>
      <c r="E52" s="24">
        <f>64595618.24</f>
        <v>64595618.240000002</v>
      </c>
      <c r="F52" s="24">
        <f>5559273.73</f>
        <v>5559273.7300000004</v>
      </c>
      <c r="G52" s="24">
        <f>224949172.41</f>
        <v>224949172.41</v>
      </c>
      <c r="H52" s="24">
        <f>829162.41</f>
        <v>829162.41</v>
      </c>
      <c r="I52" s="24">
        <f>658.67</f>
        <v>658.67</v>
      </c>
      <c r="J52" s="24">
        <f>510359.74</f>
        <v>510359.74</v>
      </c>
      <c r="K52" s="24">
        <f>2159477.68</f>
        <v>2159477.6800000002</v>
      </c>
      <c r="L52" s="24">
        <f>1911324990.05</f>
        <v>1911324990.05</v>
      </c>
      <c r="M52" s="24">
        <f>4700021432.32</f>
        <v>4700021432.3199997</v>
      </c>
      <c r="N52" s="24">
        <f>37277650.42</f>
        <v>37277650.420000002</v>
      </c>
      <c r="O52" s="24">
        <f>22743628.56</f>
        <v>22743628.559999999</v>
      </c>
      <c r="P52" s="24">
        <f>13293878.46</f>
        <v>13293878.460000001</v>
      </c>
      <c r="Q52" s="24">
        <f>9449750.1</f>
        <v>9449750.0999999996</v>
      </c>
    </row>
    <row r="53" spans="1:17" ht="26.25" customHeight="1" x14ac:dyDescent="0.2">
      <c r="A53" s="25" t="s">
        <v>46</v>
      </c>
      <c r="B53" s="23">
        <f>9697053755</f>
        <v>9697053755</v>
      </c>
      <c r="C53" s="23">
        <f>9653914090.23</f>
        <v>9653914090.2299995</v>
      </c>
      <c r="D53" s="23">
        <f>808266619.93</f>
        <v>808266619.92999995</v>
      </c>
      <c r="E53" s="23">
        <f>333214715.41</f>
        <v>333214715.41000003</v>
      </c>
      <c r="F53" s="23">
        <f>52986614.15</f>
        <v>52986614.149999999</v>
      </c>
      <c r="G53" s="23">
        <f>402151505.28</f>
        <v>402151505.27999997</v>
      </c>
      <c r="H53" s="23">
        <f>19913785.09</f>
        <v>19913785.09</v>
      </c>
      <c r="I53" s="23">
        <f>2159760.46</f>
        <v>2159760.46</v>
      </c>
      <c r="J53" s="23">
        <f>13633695.99</f>
        <v>13633695.99</v>
      </c>
      <c r="K53" s="23">
        <f>31847193.82</f>
        <v>31847193.82</v>
      </c>
      <c r="L53" s="23">
        <f>6259603844.06</f>
        <v>6259603844.0600004</v>
      </c>
      <c r="M53" s="23">
        <f>2332403045.06</f>
        <v>2332403045.0599999</v>
      </c>
      <c r="N53" s="23">
        <f>205999930.91</f>
        <v>205999930.91</v>
      </c>
      <c r="O53" s="23">
        <f>43139664.77</f>
        <v>43139664.770000003</v>
      </c>
      <c r="P53" s="23">
        <f>38531463.91</f>
        <v>38531463.909999996</v>
      </c>
      <c r="Q53" s="23">
        <f>4608200.86</f>
        <v>4608200.8600000003</v>
      </c>
    </row>
    <row r="54" spans="1:17" ht="26.25" customHeight="1" x14ac:dyDescent="0.2">
      <c r="A54" s="19" t="s">
        <v>39</v>
      </c>
      <c r="B54" s="24">
        <f>809887909.36</f>
        <v>809887909.36000001</v>
      </c>
      <c r="C54" s="24">
        <f>809533712.27</f>
        <v>809533712.26999998</v>
      </c>
      <c r="D54" s="24">
        <f>48793552.2</f>
        <v>48793552.200000003</v>
      </c>
      <c r="E54" s="24">
        <f>3729145.9</f>
        <v>3729145.9</v>
      </c>
      <c r="F54" s="24">
        <f>675478.03</f>
        <v>675478.03</v>
      </c>
      <c r="G54" s="24">
        <f>43535143.39</f>
        <v>43535143.390000001</v>
      </c>
      <c r="H54" s="24">
        <f>853784.88</f>
        <v>853784.88</v>
      </c>
      <c r="I54" s="24">
        <f>0</f>
        <v>0</v>
      </c>
      <c r="J54" s="24">
        <f>103822.2</f>
        <v>103822.2</v>
      </c>
      <c r="K54" s="24">
        <f>493138.72</f>
        <v>493138.72</v>
      </c>
      <c r="L54" s="24">
        <f>278815927.63</f>
        <v>278815927.63</v>
      </c>
      <c r="M54" s="24">
        <f>474316291.21</f>
        <v>474316291.20999998</v>
      </c>
      <c r="N54" s="24">
        <f>7010980.31</f>
        <v>7010980.3099999996</v>
      </c>
      <c r="O54" s="24">
        <f>354197.09</f>
        <v>354197.09</v>
      </c>
      <c r="P54" s="24">
        <f>347247.09</f>
        <v>347247.09</v>
      </c>
      <c r="Q54" s="24">
        <f>6950</f>
        <v>6950</v>
      </c>
    </row>
    <row r="55" spans="1:17" ht="36.75" customHeight="1" x14ac:dyDescent="0.2">
      <c r="A55" s="19" t="s">
        <v>40</v>
      </c>
      <c r="B55" s="24">
        <f>5319681122.88</f>
        <v>5319681122.8800001</v>
      </c>
      <c r="C55" s="24">
        <f>5308162915.96</f>
        <v>5308162915.96</v>
      </c>
      <c r="D55" s="24">
        <f>323293682.19</f>
        <v>323293682.19</v>
      </c>
      <c r="E55" s="24">
        <f>76956948.24</f>
        <v>76956948.239999995</v>
      </c>
      <c r="F55" s="24">
        <f>42438072.88</f>
        <v>42438072.880000003</v>
      </c>
      <c r="G55" s="24">
        <f>188133912.26</f>
        <v>188133912.25999999</v>
      </c>
      <c r="H55" s="24">
        <f>15764748.81</f>
        <v>15764748.810000001</v>
      </c>
      <c r="I55" s="24">
        <f>2099276.39</f>
        <v>2099276.39</v>
      </c>
      <c r="J55" s="24">
        <f>12854417.1</f>
        <v>12854417.1</v>
      </c>
      <c r="K55" s="24">
        <f>29073054.32</f>
        <v>29073054.32</v>
      </c>
      <c r="L55" s="24">
        <f>4184040942.94</f>
        <v>4184040942.9400001</v>
      </c>
      <c r="M55" s="24">
        <f>722843292.59</f>
        <v>722843292.59000003</v>
      </c>
      <c r="N55" s="24">
        <f>33958250.43</f>
        <v>33958250.43</v>
      </c>
      <c r="O55" s="24">
        <f>11518206.92</f>
        <v>11518206.92</v>
      </c>
      <c r="P55" s="24">
        <f>9973903.07</f>
        <v>9973903.0700000003</v>
      </c>
      <c r="Q55" s="24">
        <f>1544303.85</f>
        <v>1544303.85</v>
      </c>
    </row>
    <row r="56" spans="1:17" ht="26.25" customHeight="1" x14ac:dyDescent="0.2">
      <c r="A56" s="19" t="s">
        <v>41</v>
      </c>
      <c r="B56" s="24">
        <f>3567484722.76</f>
        <v>3567484722.7600002</v>
      </c>
      <c r="C56" s="24">
        <f>3536217462</f>
        <v>3536217462</v>
      </c>
      <c r="D56" s="24">
        <f>436179385.54</f>
        <v>436179385.54000002</v>
      </c>
      <c r="E56" s="24">
        <f>252528621.27</f>
        <v>252528621.27000001</v>
      </c>
      <c r="F56" s="24">
        <f>9873063.24</f>
        <v>9873063.2400000002</v>
      </c>
      <c r="G56" s="24">
        <f>170482449.63</f>
        <v>170482449.63</v>
      </c>
      <c r="H56" s="24">
        <f>3295251.4</f>
        <v>3295251.4</v>
      </c>
      <c r="I56" s="24">
        <f>60484.07</f>
        <v>60484.07</v>
      </c>
      <c r="J56" s="24">
        <f>675456.69</f>
        <v>675456.69</v>
      </c>
      <c r="K56" s="24">
        <f>2281000.78</f>
        <v>2281000.7799999998</v>
      </c>
      <c r="L56" s="24">
        <f>1796746973.49</f>
        <v>1796746973.49</v>
      </c>
      <c r="M56" s="24">
        <f>1135243461.26</f>
        <v>1135243461.26</v>
      </c>
      <c r="N56" s="24">
        <f>165030700.17</f>
        <v>165030700.16999999</v>
      </c>
      <c r="O56" s="24">
        <f>31267260.76</f>
        <v>31267260.760000002</v>
      </c>
      <c r="P56" s="24">
        <f>28210313.75</f>
        <v>28210313.75</v>
      </c>
      <c r="Q56" s="24">
        <f>3056947.01</f>
        <v>3056947.01</v>
      </c>
    </row>
    <row r="66" spans="1:13" ht="75" customHeight="1" x14ac:dyDescent="0.2">
      <c r="A66" s="36" t="str">
        <f>CONCATENATE("Informacja z wykonania budżetów miast na prawach powiatu za  ",$C$93," ",$B$94," roku     ",$B$96,"")</f>
        <v xml:space="preserve">Informacja z wykonania budżetów miast na prawach powiatu za  II Kwartały 2022 roku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">
      <c r="B67" s="37" t="s">
        <v>3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9" spans="1:13" ht="13.5" customHeight="1" x14ac:dyDescent="0.2">
      <c r="B69" s="65" t="s">
        <v>0</v>
      </c>
      <c r="C69" s="66"/>
      <c r="D69" s="66"/>
      <c r="E69" s="67"/>
      <c r="F69" s="40" t="s">
        <v>73</v>
      </c>
      <c r="G69" s="61" t="s">
        <v>72</v>
      </c>
      <c r="H69" s="74"/>
      <c r="I69" s="74"/>
      <c r="J69" s="74"/>
      <c r="K69" s="74"/>
      <c r="L69" s="62"/>
    </row>
    <row r="70" spans="1:13" ht="13.5" customHeight="1" x14ac:dyDescent="0.2">
      <c r="B70" s="68"/>
      <c r="C70" s="69"/>
      <c r="D70" s="69"/>
      <c r="E70" s="70"/>
      <c r="F70" s="41"/>
      <c r="G70" s="43" t="s">
        <v>74</v>
      </c>
      <c r="H70" s="32" t="s">
        <v>70</v>
      </c>
      <c r="I70" s="32" t="s">
        <v>71</v>
      </c>
      <c r="J70" s="32" t="s">
        <v>75</v>
      </c>
      <c r="K70" s="32" t="s">
        <v>76</v>
      </c>
      <c r="L70" s="80" t="s">
        <v>77</v>
      </c>
    </row>
    <row r="71" spans="1:13" ht="13.5" customHeight="1" x14ac:dyDescent="0.2">
      <c r="B71" s="68"/>
      <c r="C71" s="69"/>
      <c r="D71" s="69"/>
      <c r="E71" s="70"/>
      <c r="F71" s="41"/>
      <c r="G71" s="43"/>
      <c r="H71" s="32"/>
      <c r="I71" s="32"/>
      <c r="J71" s="32"/>
      <c r="K71" s="32"/>
      <c r="L71" s="80"/>
    </row>
    <row r="72" spans="1:13" ht="11.25" customHeight="1" x14ac:dyDescent="0.2">
      <c r="B72" s="68"/>
      <c r="C72" s="69"/>
      <c r="D72" s="69"/>
      <c r="E72" s="70"/>
      <c r="F72" s="41"/>
      <c r="G72" s="43"/>
      <c r="H72" s="32"/>
      <c r="I72" s="32"/>
      <c r="J72" s="32"/>
      <c r="K72" s="32"/>
      <c r="L72" s="80"/>
    </row>
    <row r="73" spans="1:13" ht="11.25" customHeight="1" x14ac:dyDescent="0.2">
      <c r="B73" s="71"/>
      <c r="C73" s="72"/>
      <c r="D73" s="72"/>
      <c r="E73" s="73"/>
      <c r="F73" s="42"/>
      <c r="G73" s="43"/>
      <c r="H73" s="32"/>
      <c r="I73" s="32"/>
      <c r="J73" s="32"/>
      <c r="K73" s="32"/>
      <c r="L73" s="80"/>
    </row>
    <row r="74" spans="1:13" ht="11.25" customHeight="1" x14ac:dyDescent="0.2">
      <c r="B74" s="32">
        <v>1</v>
      </c>
      <c r="C74" s="32"/>
      <c r="D74" s="32"/>
      <c r="E74" s="32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13">
        <v>8</v>
      </c>
    </row>
    <row r="75" spans="1:13" ht="11.25" customHeight="1" x14ac:dyDescent="0.2">
      <c r="B75" s="76"/>
      <c r="C75" s="76"/>
      <c r="D75" s="76"/>
      <c r="E75" s="76"/>
      <c r="F75" s="32" t="s">
        <v>79</v>
      </c>
      <c r="G75" s="32"/>
      <c r="H75" s="32"/>
      <c r="I75" s="32"/>
      <c r="J75" s="32"/>
      <c r="K75" s="32"/>
      <c r="L75" s="32"/>
    </row>
    <row r="76" spans="1:13" ht="47.25" customHeight="1" x14ac:dyDescent="0.2">
      <c r="B76" s="53" t="s">
        <v>57</v>
      </c>
      <c r="C76" s="54"/>
      <c r="D76" s="54"/>
      <c r="E76" s="55"/>
      <c r="F76" s="22">
        <f>1822279464.13</f>
        <v>1822279464.1300001</v>
      </c>
      <c r="G76" s="22">
        <f>263100405.66</f>
        <v>263100405.66</v>
      </c>
      <c r="H76" s="22">
        <f>19147000</f>
        <v>19147000</v>
      </c>
      <c r="I76" s="22">
        <f>98682251</f>
        <v>98682251</v>
      </c>
      <c r="J76" s="22">
        <f>145271154.66</f>
        <v>145271154.66</v>
      </c>
      <c r="K76" s="22">
        <f>0</f>
        <v>0</v>
      </c>
      <c r="L76" s="22">
        <f>1559179058.47</f>
        <v>1559179058.47</v>
      </c>
    </row>
    <row r="77" spans="1:13" ht="47.25" customHeight="1" x14ac:dyDescent="0.2">
      <c r="B77" s="53" t="s">
        <v>58</v>
      </c>
      <c r="C77" s="54"/>
      <c r="D77" s="54"/>
      <c r="E77" s="55"/>
      <c r="F77" s="22">
        <f>0</f>
        <v>0</v>
      </c>
      <c r="G77" s="22">
        <f>0</f>
        <v>0</v>
      </c>
      <c r="H77" s="22">
        <f>0</f>
        <v>0</v>
      </c>
      <c r="I77" s="22">
        <f>0</f>
        <v>0</v>
      </c>
      <c r="J77" s="22">
        <f>0</f>
        <v>0</v>
      </c>
      <c r="K77" s="22">
        <f>0</f>
        <v>0</v>
      </c>
      <c r="L77" s="22">
        <f>0</f>
        <v>0</v>
      </c>
    </row>
    <row r="78" spans="1:13" ht="47.25" customHeight="1" x14ac:dyDescent="0.2">
      <c r="B78" s="53" t="s">
        <v>59</v>
      </c>
      <c r="C78" s="54"/>
      <c r="D78" s="54"/>
      <c r="E78" s="55"/>
      <c r="F78" s="22">
        <f>94210995.92</f>
        <v>94210995.920000002</v>
      </c>
      <c r="G78" s="22">
        <f>1130000</f>
        <v>1130000</v>
      </c>
      <c r="H78" s="22">
        <f>0</f>
        <v>0</v>
      </c>
      <c r="I78" s="22">
        <f>0</f>
        <v>0</v>
      </c>
      <c r="J78" s="22">
        <f>1130000</f>
        <v>1130000</v>
      </c>
      <c r="K78" s="22">
        <f>0</f>
        <v>0</v>
      </c>
      <c r="L78" s="22">
        <f>93080995.92</f>
        <v>93080995.920000002</v>
      </c>
    </row>
    <row r="79" spans="1:13" ht="47.25" customHeight="1" x14ac:dyDescent="0.2">
      <c r="B79" s="53" t="s">
        <v>60</v>
      </c>
      <c r="C79" s="54"/>
      <c r="D79" s="54"/>
      <c r="E79" s="55"/>
      <c r="F79" s="22">
        <f>10500006.44</f>
        <v>10500006.439999999</v>
      </c>
      <c r="G79" s="22">
        <f>0</f>
        <v>0</v>
      </c>
      <c r="H79" s="22">
        <f>0</f>
        <v>0</v>
      </c>
      <c r="I79" s="22">
        <f>0</f>
        <v>0</v>
      </c>
      <c r="J79" s="22">
        <f>0</f>
        <v>0</v>
      </c>
      <c r="K79" s="22">
        <f>0</f>
        <v>0</v>
      </c>
      <c r="L79" s="22">
        <f>10500006.44</f>
        <v>10500006.439999999</v>
      </c>
    </row>
    <row r="80" spans="1:13" ht="47.25" customHeight="1" x14ac:dyDescent="0.2">
      <c r="B80" s="53" t="s">
        <v>61</v>
      </c>
      <c r="C80" s="54"/>
      <c r="D80" s="54"/>
      <c r="E80" s="55"/>
      <c r="F80" s="22">
        <f>3159174.05</f>
        <v>3159174.05</v>
      </c>
      <c r="G80" s="22">
        <f>0</f>
        <v>0</v>
      </c>
      <c r="H80" s="22">
        <f>0</f>
        <v>0</v>
      </c>
      <c r="I80" s="22">
        <f>0</f>
        <v>0</v>
      </c>
      <c r="J80" s="22">
        <f>0</f>
        <v>0</v>
      </c>
      <c r="K80" s="22">
        <f>0</f>
        <v>0</v>
      </c>
      <c r="L80" s="22">
        <f>3159174.05</f>
        <v>3159174.05</v>
      </c>
    </row>
    <row r="81" spans="1:13" ht="47.25" customHeight="1" x14ac:dyDescent="0.2">
      <c r="B81" s="53" t="s">
        <v>62</v>
      </c>
      <c r="C81" s="54"/>
      <c r="D81" s="54"/>
      <c r="E81" s="55"/>
      <c r="F81" s="22">
        <f>8667895.49</f>
        <v>8667895.4900000002</v>
      </c>
      <c r="G81" s="22">
        <f>824384.08</f>
        <v>824384.08</v>
      </c>
      <c r="H81" s="22">
        <f>0</f>
        <v>0</v>
      </c>
      <c r="I81" s="22">
        <f>0</f>
        <v>0</v>
      </c>
      <c r="J81" s="22">
        <f>824384.08</f>
        <v>824384.08</v>
      </c>
      <c r="K81" s="22">
        <f>0</f>
        <v>0</v>
      </c>
      <c r="L81" s="22">
        <f>7843511.41</f>
        <v>7843511.4100000001</v>
      </c>
    </row>
    <row r="82" spans="1:13" ht="47.25" customHeight="1" x14ac:dyDescent="0.2">
      <c r="B82" s="53" t="s">
        <v>63</v>
      </c>
      <c r="C82" s="54"/>
      <c r="D82" s="54"/>
      <c r="E82" s="55"/>
      <c r="F82" s="22">
        <f>0</f>
        <v>0</v>
      </c>
      <c r="G82" s="22">
        <f>0</f>
        <v>0</v>
      </c>
      <c r="H82" s="22">
        <f>0</f>
        <v>0</v>
      </c>
      <c r="I82" s="22">
        <f>0</f>
        <v>0</v>
      </c>
      <c r="J82" s="22">
        <f>0</f>
        <v>0</v>
      </c>
      <c r="K82" s="22">
        <f>0</f>
        <v>0</v>
      </c>
      <c r="L82" s="22">
        <f>0</f>
        <v>0</v>
      </c>
    </row>
    <row r="85" spans="1:13" ht="75" customHeight="1" x14ac:dyDescent="0.2">
      <c r="A85" s="36" t="str">
        <f>CONCATENATE("Informacja z wykonania budżetów miast na prawach powiatu za  ",$C$93," ",$B$94," roku     ",$B$96,"")</f>
        <v xml:space="preserve">Informacja z wykonania budżetów miast na prawach powiatu za  II Kwartały 2022 roku     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">
      <c r="B86" s="4"/>
    </row>
    <row r="87" spans="1:13" ht="13.5" customHeight="1" x14ac:dyDescent="0.2">
      <c r="B87" s="5"/>
      <c r="C87" s="61"/>
      <c r="D87" s="74"/>
      <c r="E87" s="74"/>
      <c r="F87" s="62"/>
      <c r="G87" s="61" t="s">
        <v>4</v>
      </c>
      <c r="H87" s="62"/>
      <c r="I87" s="61" t="s">
        <v>5</v>
      </c>
      <c r="J87" s="62"/>
      <c r="K87" s="5"/>
    </row>
    <row r="88" spans="1:13" ht="13.5" customHeight="1" x14ac:dyDescent="0.2">
      <c r="B88" s="6"/>
      <c r="C88" s="53" t="s">
        <v>6</v>
      </c>
      <c r="D88" s="54"/>
      <c r="E88" s="54"/>
      <c r="F88" s="55"/>
      <c r="G88" s="59">
        <f>54</f>
        <v>54</v>
      </c>
      <c r="H88" s="60"/>
      <c r="I88" s="46">
        <f>3904590483.9</f>
        <v>3904590483.9000001</v>
      </c>
      <c r="J88" s="47"/>
      <c r="K88" s="7"/>
    </row>
    <row r="89" spans="1:13" ht="13.5" customHeight="1" x14ac:dyDescent="0.2">
      <c r="B89" s="6"/>
      <c r="C89" s="56" t="s">
        <v>7</v>
      </c>
      <c r="D89" s="57"/>
      <c r="E89" s="57"/>
      <c r="F89" s="58"/>
      <c r="G89" s="63">
        <f>12</f>
        <v>12</v>
      </c>
      <c r="H89" s="64"/>
      <c r="I89" s="48">
        <f>-235868381.17</f>
        <v>-235868381.16999999</v>
      </c>
      <c r="J89" s="49"/>
      <c r="K89" s="7"/>
    </row>
    <row r="90" spans="1:13" ht="13.5" customHeight="1" x14ac:dyDescent="0.2">
      <c r="B90" s="6"/>
      <c r="C90" s="53" t="s">
        <v>8</v>
      </c>
      <c r="D90" s="54"/>
      <c r="E90" s="54"/>
      <c r="F90" s="55"/>
      <c r="G90" s="59">
        <f>0</f>
        <v>0</v>
      </c>
      <c r="H90" s="60"/>
      <c r="I90" s="46">
        <f>0</f>
        <v>0</v>
      </c>
      <c r="J90" s="47"/>
      <c r="K90" s="7"/>
    </row>
    <row r="93" spans="1:13" ht="13.5" customHeight="1" x14ac:dyDescent="0.2">
      <c r="A93" s="8" t="s">
        <v>9</v>
      </c>
      <c r="B93" s="8">
        <f>2</f>
        <v>2</v>
      </c>
      <c r="C93" s="8" t="str">
        <f>IF(B93=1,"I Kwartał",IF(B93=2,"II Kwartały",IF(B93=3,"III Kwartały",IF(B93=4,"IV Kwartały","-"))))</f>
        <v>II Kwartały</v>
      </c>
    </row>
    <row r="94" spans="1:13" ht="13.5" customHeight="1" x14ac:dyDescent="0.2">
      <c r="A94" s="8" t="s">
        <v>10</v>
      </c>
      <c r="B94" s="8">
        <f>2022</f>
        <v>2022</v>
      </c>
      <c r="C94" s="9"/>
    </row>
    <row r="95" spans="1:13" ht="13.5" customHeight="1" x14ac:dyDescent="0.2">
      <c r="A95" s="8" t="s">
        <v>11</v>
      </c>
      <c r="B95" s="10" t="str">
        <f>"Aug 18 2022 12:00AM"</f>
        <v>Aug 18 2022 12:00AM</v>
      </c>
      <c r="C95" s="9"/>
    </row>
    <row r="96" spans="1:13" ht="13.5" customHeight="1" x14ac:dyDescent="0.2">
      <c r="A96" s="15" t="s">
        <v>78</v>
      </c>
      <c r="B96" s="10" t="str">
        <f>""</f>
        <v/>
      </c>
    </row>
  </sheetData>
  <mergeCells count="79">
    <mergeCell ref="O6:Q6"/>
    <mergeCell ref="O7:O10"/>
    <mergeCell ref="A66:M66"/>
    <mergeCell ref="L35:L37"/>
    <mergeCell ref="P35:P37"/>
    <mergeCell ref="B75:E75"/>
    <mergeCell ref="F75:L75"/>
    <mergeCell ref="B12:Q12"/>
    <mergeCell ref="B39:Q39"/>
    <mergeCell ref="L70:L73"/>
    <mergeCell ref="G90:H90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B81:E81"/>
    <mergeCell ref="G69:L69"/>
    <mergeCell ref="H70:H73"/>
    <mergeCell ref="I70:I73"/>
    <mergeCell ref="J70:J73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C88:F88"/>
    <mergeCell ref="C89:F89"/>
    <mergeCell ref="C90:F90"/>
    <mergeCell ref="G88:H88"/>
    <mergeCell ref="G87:H87"/>
    <mergeCell ref="G89:H89"/>
    <mergeCell ref="A1:M1"/>
    <mergeCell ref="C5:M5"/>
    <mergeCell ref="A3:M3"/>
    <mergeCell ref="K7:K10"/>
    <mergeCell ref="C7:C10"/>
    <mergeCell ref="B6:B10"/>
    <mergeCell ref="G7:G10"/>
    <mergeCell ref="F7:F10"/>
    <mergeCell ref="I7:I10"/>
    <mergeCell ref="J7:J10"/>
    <mergeCell ref="H7:H10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Q35:Q37"/>
    <mergeCell ref="N35:N37"/>
    <mergeCell ref="O35:O37"/>
    <mergeCell ref="D35:D37"/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  <mergeCell ref="F69:F73"/>
    <mergeCell ref="G70:G73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2022-08-19T13:36:43Z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2022-08-19T15:36:39.8603831+02:00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GRN-39c080b4-b4b5-41cb-8f11-678d286b0a6a</vt:lpwstr>
  </property>
  <property fmtid="{D5CDD505-2E9C-101B-9397-08002B2CF9AE}" pid="7" name="MFHash">
    <vt:lpwstr>+FcsfWFRQ3rj70ejuR1DDRrBskY5rn8p1CK9g+IJsv8=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