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r-win-003\homes_citrix\HHCY.MF\```ST7\Besti@\2022\IV kw 2022\Dane ostateczne\www\MF\Zestawienia zbiorcze\"/>
    </mc:Choice>
  </mc:AlternateContent>
  <bookViews>
    <workbookView xWindow="240" yWindow="120" windowWidth="14220" windowHeight="8835"/>
  </bookViews>
  <sheets>
    <sheet name="doch_wyd" sheetId="4" r:id="rId1"/>
  </sheets>
  <calcPr calcId="152511"/>
</workbook>
</file>

<file path=xl/calcChain.xml><?xml version="1.0" encoding="utf-8"?>
<calcChain xmlns="http://schemas.openxmlformats.org/spreadsheetml/2006/main">
  <c r="C103" i="4" l="1"/>
  <c r="C102" i="4"/>
  <c r="C101" i="4"/>
  <c r="C100" i="4"/>
  <c r="D98" i="4"/>
  <c r="C98" i="4"/>
  <c r="D97" i="4"/>
  <c r="C97" i="4"/>
  <c r="D96" i="4"/>
  <c r="C96" i="4"/>
  <c r="D95" i="4"/>
  <c r="C95" i="4"/>
  <c r="D94" i="4"/>
  <c r="C94" i="4"/>
  <c r="D93" i="4"/>
  <c r="C93" i="4"/>
  <c r="D92" i="4"/>
  <c r="C92" i="4"/>
  <c r="D91" i="4"/>
  <c r="C91" i="4"/>
  <c r="D86" i="4"/>
  <c r="C86" i="4"/>
  <c r="D85" i="4"/>
  <c r="C85" i="4"/>
  <c r="D84" i="4"/>
  <c r="C84" i="4"/>
  <c r="D83" i="4"/>
  <c r="C83" i="4"/>
  <c r="D82" i="4"/>
  <c r="C82" i="4"/>
  <c r="D81" i="4"/>
  <c r="C81" i="4"/>
  <c r="D80" i="4"/>
  <c r="C80" i="4"/>
  <c r="D79" i="4"/>
  <c r="C79" i="4"/>
  <c r="D78" i="4"/>
  <c r="C78" i="4"/>
  <c r="D77" i="4"/>
  <c r="C77" i="4"/>
  <c r="D76" i="4"/>
  <c r="C76" i="4"/>
  <c r="D75" i="4"/>
  <c r="C75" i="4"/>
  <c r="D74" i="4"/>
  <c r="C74" i="4"/>
  <c r="D73" i="4"/>
  <c r="C73" i="4"/>
  <c r="I66" i="4"/>
  <c r="H66" i="4"/>
  <c r="G66" i="4"/>
  <c r="F66" i="4"/>
  <c r="E66" i="4"/>
  <c r="D66" i="4"/>
  <c r="C66" i="4"/>
  <c r="I65" i="4"/>
  <c r="H65" i="4"/>
  <c r="G65" i="4"/>
  <c r="F65" i="4"/>
  <c r="E65" i="4"/>
  <c r="D65" i="4"/>
  <c r="C65" i="4"/>
  <c r="I59" i="4"/>
  <c r="H59" i="4"/>
  <c r="G59" i="4"/>
  <c r="F59" i="4"/>
  <c r="E59" i="4"/>
  <c r="D59" i="4"/>
  <c r="C59" i="4"/>
  <c r="I58" i="4"/>
  <c r="H58" i="4"/>
  <c r="G58" i="4"/>
  <c r="F58" i="4"/>
  <c r="E58" i="4"/>
  <c r="D58" i="4"/>
  <c r="C58" i="4"/>
  <c r="I57" i="4"/>
  <c r="H57" i="4"/>
  <c r="G57" i="4"/>
  <c r="F57" i="4"/>
  <c r="E57" i="4"/>
  <c r="D57" i="4"/>
  <c r="C57" i="4"/>
  <c r="I56" i="4"/>
  <c r="H56" i="4"/>
  <c r="G56" i="4"/>
  <c r="F56" i="4"/>
  <c r="E56" i="4"/>
  <c r="D56" i="4"/>
  <c r="C56" i="4"/>
  <c r="I55" i="4"/>
  <c r="H55" i="4"/>
  <c r="G55" i="4"/>
  <c r="F55" i="4"/>
  <c r="E55" i="4"/>
  <c r="D55" i="4"/>
  <c r="C55" i="4"/>
  <c r="I53" i="4"/>
  <c r="H53" i="4"/>
  <c r="G53" i="4"/>
  <c r="F53" i="4"/>
  <c r="E53" i="4"/>
  <c r="D53" i="4"/>
  <c r="C53" i="4"/>
  <c r="I52" i="4"/>
  <c r="H52" i="4"/>
  <c r="G52" i="4"/>
  <c r="F52" i="4"/>
  <c r="E52" i="4"/>
  <c r="D52" i="4"/>
  <c r="C52" i="4"/>
  <c r="I51" i="4"/>
  <c r="H51" i="4"/>
  <c r="G51" i="4"/>
  <c r="F51" i="4"/>
  <c r="E51" i="4"/>
  <c r="D51" i="4"/>
  <c r="C51" i="4"/>
  <c r="D41" i="4"/>
  <c r="C41" i="4"/>
  <c r="D39" i="4"/>
  <c r="C39" i="4"/>
  <c r="D38" i="4"/>
  <c r="C38" i="4"/>
  <c r="D37" i="4"/>
  <c r="C37" i="4"/>
  <c r="D36" i="4"/>
  <c r="C36" i="4"/>
  <c r="D34" i="4"/>
  <c r="C34" i="4"/>
  <c r="D33" i="4"/>
  <c r="C33" i="4"/>
  <c r="D32" i="4"/>
  <c r="C32" i="4"/>
  <c r="D31" i="4"/>
  <c r="C31" i="4"/>
  <c r="D30" i="4"/>
  <c r="C30" i="4"/>
  <c r="D29" i="4"/>
  <c r="C29" i="4"/>
  <c r="D28" i="4"/>
  <c r="C28" i="4"/>
  <c r="D27" i="4"/>
  <c r="C27" i="4"/>
  <c r="D26" i="4"/>
  <c r="C26" i="4"/>
  <c r="D25" i="4"/>
  <c r="C25" i="4"/>
  <c r="D24" i="4"/>
  <c r="C24" i="4"/>
  <c r="D23" i="4"/>
  <c r="C23" i="4"/>
  <c r="D22" i="4"/>
  <c r="C22" i="4"/>
  <c r="D21" i="4"/>
  <c r="C21" i="4"/>
  <c r="D20" i="4"/>
  <c r="C20" i="4"/>
  <c r="D19" i="4"/>
  <c r="C19" i="4"/>
  <c r="D18" i="4"/>
  <c r="C18" i="4"/>
  <c r="D17" i="4"/>
  <c r="C17" i="4"/>
  <c r="D16" i="4"/>
  <c r="C16" i="4"/>
  <c r="D15" i="4"/>
  <c r="C15" i="4"/>
  <c r="D14" i="4"/>
  <c r="C14" i="4"/>
  <c r="D13" i="4"/>
  <c r="C13" i="4"/>
  <c r="D9" i="4"/>
  <c r="C9" i="4"/>
  <c r="D8" i="4"/>
  <c r="C8" i="4"/>
  <c r="D7" i="4"/>
  <c r="C7" i="4"/>
  <c r="D5" i="4"/>
  <c r="C5" i="4"/>
  <c r="C61" i="4" s="1"/>
  <c r="D12" i="4"/>
  <c r="D11" i="4" s="1"/>
  <c r="C12" i="4"/>
  <c r="J57" i="4"/>
  <c r="J51" i="4"/>
  <c r="J59" i="4"/>
  <c r="J55" i="4"/>
  <c r="J56" i="4"/>
  <c r="J53" i="4"/>
  <c r="J58" i="4"/>
  <c r="J52" i="4"/>
  <c r="D54" i="4"/>
  <c r="D60" i="4" s="1"/>
  <c r="J60" i="4" s="1"/>
  <c r="K5" i="4"/>
  <c r="K13" i="4"/>
  <c r="K17" i="4"/>
  <c r="K21" i="4"/>
  <c r="K25" i="4"/>
  <c r="K29" i="4"/>
  <c r="K33" i="4"/>
  <c r="K38" i="4"/>
  <c r="E54" i="4"/>
  <c r="E60" i="4" s="1"/>
  <c r="K58" i="4"/>
  <c r="E67" i="4"/>
  <c r="K75" i="4"/>
  <c r="K79" i="4"/>
  <c r="K83" i="4"/>
  <c r="D100" i="4"/>
  <c r="B68" i="4" s="1"/>
  <c r="J36" i="4"/>
  <c r="J32" i="4"/>
  <c r="J24" i="4"/>
  <c r="J27" i="4"/>
  <c r="J21" i="4"/>
  <c r="J7" i="4"/>
  <c r="J20" i="4"/>
  <c r="J19" i="4"/>
  <c r="J25" i="4"/>
  <c r="J17" i="4"/>
  <c r="J31" i="4"/>
  <c r="J14" i="4"/>
  <c r="J8" i="4"/>
  <c r="J9" i="4"/>
  <c r="J26" i="4"/>
  <c r="J16" i="4"/>
  <c r="J39" i="4"/>
  <c r="D40" i="4"/>
  <c r="J40" i="4" s="1"/>
  <c r="J30" i="4"/>
  <c r="J18" i="4"/>
  <c r="J5" i="4"/>
  <c r="J13" i="4"/>
  <c r="J38" i="4"/>
  <c r="D61" i="4"/>
  <c r="J34" i="4"/>
  <c r="J23" i="4"/>
  <c r="J12" i="4"/>
  <c r="J37" i="4"/>
  <c r="J33" i="4"/>
  <c r="J28" i="4"/>
  <c r="J15" i="4"/>
  <c r="J29" i="4"/>
  <c r="J22" i="4"/>
  <c r="J41" i="4"/>
  <c r="F54" i="4"/>
  <c r="F60" i="4" s="1"/>
  <c r="K57" i="4"/>
  <c r="F67" i="4"/>
  <c r="K7" i="4"/>
  <c r="K14" i="4"/>
  <c r="K18" i="4"/>
  <c r="K22" i="4"/>
  <c r="K26" i="4"/>
  <c r="K30" i="4"/>
  <c r="K34" i="4"/>
  <c r="K39" i="4"/>
  <c r="G54" i="4"/>
  <c r="G60" i="4" s="1"/>
  <c r="K56" i="4"/>
  <c r="G67" i="4"/>
  <c r="K76" i="4"/>
  <c r="K80" i="4"/>
  <c r="K84" i="4"/>
  <c r="H54" i="4"/>
  <c r="H60" i="4" s="1"/>
  <c r="K15" i="4"/>
  <c r="K23" i="4"/>
  <c r="K31" i="4"/>
  <c r="K41" i="4"/>
  <c r="I54" i="4"/>
  <c r="I60" i="4" s="1"/>
  <c r="K73" i="4"/>
  <c r="K81" i="4"/>
  <c r="D35" i="4"/>
  <c r="J35" i="4" s="1"/>
  <c r="K52" i="4"/>
  <c r="K66" i="4"/>
  <c r="J80" i="4"/>
  <c r="J73" i="4"/>
  <c r="J75" i="4"/>
  <c r="J76" i="4"/>
  <c r="J74" i="4"/>
  <c r="J81" i="4"/>
  <c r="J78" i="4"/>
  <c r="J77" i="4"/>
  <c r="J79" i="4"/>
  <c r="H67" i="4"/>
  <c r="K8" i="4"/>
  <c r="K19" i="4"/>
  <c r="K27" i="4"/>
  <c r="C35" i="4"/>
  <c r="K35" i="4" s="1"/>
  <c r="K36" i="4"/>
  <c r="K53" i="4"/>
  <c r="I67" i="4"/>
  <c r="K77" i="4"/>
  <c r="K85" i="4"/>
  <c r="K9" i="4"/>
  <c r="K16" i="4"/>
  <c r="K20" i="4"/>
  <c r="K24" i="4"/>
  <c r="K28" i="4"/>
  <c r="K32" i="4"/>
  <c r="K37" i="4"/>
  <c r="K51" i="4"/>
  <c r="C54" i="4"/>
  <c r="K65" i="4"/>
  <c r="C67" i="4"/>
  <c r="K74" i="4"/>
  <c r="K78" i="4"/>
  <c r="K82" i="4"/>
  <c r="K86" i="4"/>
  <c r="K55" i="4"/>
  <c r="K59" i="4"/>
  <c r="J66" i="4"/>
  <c r="J65" i="4"/>
  <c r="D67" i="4"/>
  <c r="J67" i="4" s="1"/>
  <c r="J82" i="4"/>
  <c r="J83" i="4"/>
  <c r="J85" i="4"/>
  <c r="J84" i="4"/>
  <c r="J86" i="4"/>
  <c r="J54" i="4"/>
  <c r="C60" i="4"/>
  <c r="C11" i="4"/>
  <c r="K12" i="4"/>
  <c r="K54" i="4" l="1"/>
  <c r="B1" i="4"/>
  <c r="B44" i="4"/>
  <c r="K67" i="4"/>
  <c r="K60" i="4"/>
  <c r="C6" i="4"/>
  <c r="C10" i="4" s="1"/>
  <c r="J11" i="4"/>
  <c r="D6" i="4"/>
  <c r="K11" i="4"/>
  <c r="D42" i="4"/>
  <c r="C40" i="4"/>
  <c r="K6" i="4" l="1"/>
  <c r="J6" i="4"/>
  <c r="L7" i="4"/>
  <c r="D10" i="4"/>
  <c r="L9" i="4"/>
  <c r="L8" i="4"/>
  <c r="L6" i="4"/>
  <c r="D62" i="4"/>
  <c r="J42" i="4"/>
  <c r="C42" i="4"/>
  <c r="K40" i="4"/>
  <c r="J10" i="4" l="1"/>
  <c r="K10" i="4"/>
  <c r="L10" i="4"/>
  <c r="K42" i="4"/>
  <c r="C62" i="4"/>
</calcChain>
</file>

<file path=xl/sharedStrings.xml><?xml version="1.0" encoding="utf-8"?>
<sst xmlns="http://schemas.openxmlformats.org/spreadsheetml/2006/main" count="381" uniqueCount="102">
  <si>
    <t xml:space="preserve">Wyszczególnienie </t>
  </si>
  <si>
    <t xml:space="preserve">Wykonanie </t>
  </si>
  <si>
    <t xml:space="preserve">Struktura </t>
  </si>
  <si>
    <t>Struktura dochodów  własnych</t>
  </si>
  <si>
    <t>w %%</t>
  </si>
  <si>
    <t>DOCHODY OGÓŁEM</t>
  </si>
  <si>
    <t>w tym:   inwestycyjne</t>
  </si>
  <si>
    <t xml:space="preserve">na zadania własne </t>
  </si>
  <si>
    <t>otrzymane z funduszy celowych</t>
  </si>
  <si>
    <t>na zadania z zakresu adm. rządowej</t>
  </si>
  <si>
    <t xml:space="preserve">na zadania realizowane na podstawie porozumień  z org. adm. rządowej </t>
  </si>
  <si>
    <t>na zadania realizowane na podstawie porozumień między jst</t>
  </si>
  <si>
    <t>Zobowiązania wg stanu na koniec 
okresu sprawozdawczego</t>
  </si>
  <si>
    <t>w tym:   wydatki na inwestycje</t>
  </si>
  <si>
    <t xml:space="preserve">wydatki majątkowe      </t>
  </si>
  <si>
    <t xml:space="preserve">WYNIK  </t>
  </si>
  <si>
    <t>Wyszczególnienie</t>
  </si>
  <si>
    <t>Plan (po zmianach)</t>
  </si>
  <si>
    <t>Wskaźnik 
(3:2)</t>
  </si>
  <si>
    <t xml:space="preserve">podatek dochodowy od osób fizycznych </t>
  </si>
  <si>
    <t>dochody z majątku</t>
  </si>
  <si>
    <t xml:space="preserve">pozostałe dochody </t>
  </si>
  <si>
    <t>Struktura</t>
  </si>
  <si>
    <t>Wskaźnik</t>
  </si>
  <si>
    <t>inne cele</t>
  </si>
  <si>
    <t>w tym wymagalne:</t>
  </si>
  <si>
    <t xml:space="preserve">podatek dochodowy od osób prawnych </t>
  </si>
  <si>
    <r>
      <t xml:space="preserve">Plan 
(po zmianach)
</t>
    </r>
    <r>
      <rPr>
        <b/>
        <sz val="10"/>
        <color indexed="8"/>
        <rFont val="Arial"/>
        <family val="2"/>
        <charset val="238"/>
      </rPr>
      <t>R1</t>
    </r>
  </si>
  <si>
    <r>
      <t xml:space="preserve">Dochody 
wykonane
(wpływy minus zwroty) 
</t>
    </r>
    <r>
      <rPr>
        <b/>
        <sz val="10"/>
        <color indexed="8"/>
        <rFont val="Arial"/>
        <family val="2"/>
        <charset val="238"/>
      </rPr>
      <t>R4</t>
    </r>
  </si>
  <si>
    <t>uzupełnienie subwencji ogólnej</t>
  </si>
  <si>
    <t>część oświatowa</t>
  </si>
  <si>
    <t>część wyrównawcza</t>
  </si>
  <si>
    <t>pozostałe wydatki</t>
  </si>
  <si>
    <t>wydatki na obsługę długu</t>
  </si>
  <si>
    <t>dotacje</t>
  </si>
  <si>
    <r>
      <t xml:space="preserve">powstałe w latach ubiegłych
</t>
    </r>
    <r>
      <rPr>
        <b/>
        <sz val="10"/>
        <rFont val="Arial"/>
        <family val="2"/>
        <charset val="238"/>
      </rPr>
      <t>R12U</t>
    </r>
  </si>
  <si>
    <r>
      <t xml:space="preserve">powstałe w roku bieżącym
</t>
    </r>
    <r>
      <rPr>
        <b/>
        <sz val="10"/>
        <rFont val="Arial"/>
        <family val="2"/>
        <charset val="238"/>
      </rPr>
      <t>R12B</t>
    </r>
  </si>
  <si>
    <r>
      <t xml:space="preserve">Plan 
(po zmianach)
</t>
    </r>
    <r>
      <rPr>
        <b/>
        <sz val="10"/>
        <rFont val="Arial"/>
        <family val="2"/>
        <charset val="238"/>
      </rPr>
      <t>R1</t>
    </r>
  </si>
  <si>
    <r>
      <t xml:space="preserve">Zaangażowanie
</t>
    </r>
    <r>
      <rPr>
        <b/>
        <sz val="10"/>
        <rFont val="Arial"/>
        <family val="2"/>
        <charset val="238"/>
      </rPr>
      <t>R10</t>
    </r>
  </si>
  <si>
    <r>
      <t xml:space="preserve">Wydatki
 wykonane
</t>
    </r>
    <r>
      <rPr>
        <b/>
        <sz val="10"/>
        <rFont val="Arial"/>
        <family val="2"/>
        <charset val="238"/>
      </rPr>
      <t>R4</t>
    </r>
  </si>
  <si>
    <r>
      <t xml:space="preserve">ogółem
</t>
    </r>
    <r>
      <rPr>
        <b/>
        <sz val="10"/>
        <rFont val="Arial"/>
        <family val="2"/>
        <charset val="238"/>
      </rPr>
      <t>R11</t>
    </r>
  </si>
  <si>
    <t>część regionalna</t>
  </si>
  <si>
    <t>Razem dochody własne 
z tego:</t>
  </si>
  <si>
    <t>Dotacje celowe 
z tego:</t>
  </si>
  <si>
    <t>Subwencja ogólna 
z tego:</t>
  </si>
  <si>
    <t>WYDATKI OGÓŁEM 
z tego:</t>
  </si>
  <si>
    <t>wydatki bieżące 
z tego:</t>
  </si>
  <si>
    <t>Przychody ogółem 
z tego:</t>
  </si>
  <si>
    <t>Rozchody ogółem 
z tego:</t>
  </si>
  <si>
    <t>kwartał</t>
  </si>
  <si>
    <t>rok</t>
  </si>
  <si>
    <t>stanNa</t>
  </si>
  <si>
    <t>wydatki z tytułu udzielania poręczeń i gwarancji</t>
  </si>
  <si>
    <t>świadczenia na rzecz osób fizycznych</t>
  </si>
  <si>
    <t>Dotacje §§ 200 i 620</t>
  </si>
  <si>
    <t>w tym: inwestycyjne § 620</t>
  </si>
  <si>
    <t>tytul</t>
  </si>
  <si>
    <t>majątkowe</t>
  </si>
  <si>
    <t>bieżace</t>
  </si>
  <si>
    <t>wydatki majątkowe</t>
  </si>
  <si>
    <t>wydatki bieżące</t>
  </si>
  <si>
    <t>w złotych</t>
  </si>
  <si>
    <t>z tytułu pomocy finansowej udzielanej między jst na dofinansowanie własnych zadań</t>
  </si>
  <si>
    <t>inne źródła</t>
  </si>
  <si>
    <t>sprzedaż papierów wartościowych wyemitowanych przez jednostkę samorządu terytorialnego</t>
  </si>
  <si>
    <t>kredyty i pożyczki</t>
  </si>
  <si>
    <t>prywatyzacja majątku jednostki samorządu terytorialnego</t>
  </si>
  <si>
    <t>wolne środki jako nadwyżka środków pieniężnych na rachunku  bieżącym budżetu jednostki samorządu terytorialnego, wynikających  z rozliczeń wyemitowanych papierów wartościowych, kredytów i  pożyczek z lat ubiegłych</t>
  </si>
  <si>
    <t>Dotacje §§ 205 i 625</t>
  </si>
  <si>
    <t>w tym: inwestycyjne § 625</t>
  </si>
  <si>
    <r>
      <t xml:space="preserve">Wydatki, które nie wygasły 
z upływem roku budżetowego) 
(art.263 ust. 2 ustawy 
o finansach publicznych) 
</t>
    </r>
    <r>
      <rPr>
        <b/>
        <sz val="10"/>
        <rFont val="Arial"/>
        <family val="2"/>
        <charset val="238"/>
      </rPr>
      <t>R9</t>
    </r>
  </si>
  <si>
    <t>Wydatki Ogółem UE                                         z tego:</t>
  </si>
  <si>
    <t>kredyty, pożyczki, emisja papierów wartościowych w tym:</t>
  </si>
  <si>
    <t>ze sprzedaży papierów wartościowych</t>
  </si>
  <si>
    <t>spłata  udzielonych pożyczek</t>
  </si>
  <si>
    <t>prywatyzacja majątku JST</t>
  </si>
  <si>
    <t>spłaty kredytów i pożyczek, wykup papierów wartościowych w tym:</t>
  </si>
  <si>
    <t>wykup papierów wartościowych</t>
  </si>
  <si>
    <t>wolne środki, o których mowa w art. 217 ust. 2 pkt 6 ustawy o finansach publicznych</t>
  </si>
  <si>
    <t>otrzymane ze środków z Funduszu Przeciwdziałania COVID-19 (m.in. z Rządowego Funduszu Inwestycji Lokalnych)</t>
  </si>
  <si>
    <t>na finansowanie lub dofinansowanie zadań inwestycyjnych obiektów zabytkowych oraz prac remontowych i konserwatorskich przy zabytkach</t>
  </si>
  <si>
    <t>w tym: inwestycyjne</t>
  </si>
  <si>
    <t>wynagrodzenia i składki od nich naliczane</t>
  </si>
  <si>
    <t>nadwyżka z lat ubiegłych, pomniejszona o niewykorzystane środki pieniężne, o których mowa w art. 217 ust. 2 pkt 8 ustawy o finansach publicznych</t>
  </si>
  <si>
    <t>niewykorzystane środki pieniężne, o których mowa w art. 217 ust. 2 pkt 8 ustawy o finansach publicznych</t>
  </si>
  <si>
    <t>udzielone pożyczki</t>
  </si>
  <si>
    <t>nadwyżka budżetu jednostki samorządu terytorialnego z lat ubiegłych, pomniejszona o środki określone w art. 217 ust. 2 pkt 8 ustawy o finansach publicznych</t>
  </si>
  <si>
    <t>niewykorzystane środki pieniężne na rachunku bieżącym budżetu, wynikające z rozliczenia dochodów i wydatków nimi finansowanych związanych ze szczególnymi zasadami wykonywania budżetu określonymi w odrębnych ustawach oraz wynikających z rozliczenia środków określonych w art. 5 ust. 1 pkt 2 ustawy o finansach publicznych i dotacji na realizację programu, projektu lub zadania finansowanego z udziałem tych środków</t>
  </si>
  <si>
    <t>spłaty udzielonych pożyczek w latach ubiegłych</t>
  </si>
  <si>
    <t>#</t>
  </si>
  <si>
    <t>Dotacje ogółem 
z tego:</t>
  </si>
  <si>
    <r>
      <t xml:space="preserve">Obniżenie górnych stawek podatkowych
</t>
    </r>
    <r>
      <rPr>
        <b/>
        <sz val="10"/>
        <color indexed="8"/>
        <rFont val="Arial"/>
        <family val="2"/>
        <charset val="238"/>
      </rPr>
      <t>R7</t>
    </r>
  </si>
  <si>
    <r>
      <t xml:space="preserve">Ulgi i zwolnienia
</t>
    </r>
    <r>
      <rPr>
        <b/>
        <sz val="10"/>
        <color indexed="8"/>
        <rFont val="Arial"/>
        <family val="2"/>
        <charset val="238"/>
      </rPr>
      <t>R8</t>
    </r>
  </si>
  <si>
    <r>
      <t xml:space="preserve">Umorzenie zaległości podatkowych
</t>
    </r>
    <r>
      <rPr>
        <b/>
        <sz val="10"/>
        <color indexed="8"/>
        <rFont val="Arial"/>
        <family val="2"/>
        <charset val="238"/>
      </rPr>
      <t>R11Z</t>
    </r>
  </si>
  <si>
    <r>
      <t xml:space="preserve">Rozłożenie na raty, odroczenie terminu płatności
</t>
    </r>
    <r>
      <rPr>
        <b/>
        <sz val="10"/>
        <color indexed="8"/>
        <rFont val="Arial"/>
        <family val="2"/>
        <charset val="238"/>
      </rPr>
      <t>R11R</t>
    </r>
  </si>
  <si>
    <r>
      <t xml:space="preserve">Potrącenia 
</t>
    </r>
    <r>
      <rPr>
        <b/>
        <sz val="10"/>
        <color indexed="8"/>
        <rFont val="Arial"/>
        <family val="2"/>
        <charset val="238"/>
      </rPr>
      <t>R3</t>
    </r>
  </si>
  <si>
    <t xml:space="preserve">DOCHODY OGÓŁEM </t>
  </si>
  <si>
    <t>Dochody bieżace 
minus 
wydatki bieżące</t>
  </si>
  <si>
    <t>FINANSOWANIE DEFICYTU (E1+E2+E3+E4+E5+E6+E7) 
z tego:</t>
  </si>
  <si>
    <t>otrzymane z Funduszu Pomocy lub z innych środków (*)</t>
  </si>
  <si>
    <t>(*) na finansowanie lub dofinansowanie realizacji zadań w zakresie pomocy obywatelom Ukrainy</t>
  </si>
  <si>
    <t>WYDATKI Z UDZIAŁEM ŚRODKÓW, O KTÓRYCH MOWA W ART. 5 UST. 1 pkt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</si>
</sst>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#,##0.0"/>
    <numFmt numFmtId="165" formatCode="dd/mm/yy\ h:mm;@"/>
  </numFmts>
  <fonts count="36" x14ac:knownFonts="1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9.5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Arial CE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rgb="FF242424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2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3" borderId="0" applyNumberFormat="0" applyBorder="0" applyAlignment="0" applyProtection="0"/>
    <xf numFmtId="0" fontId="13" fillId="10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3" borderId="0" applyNumberFormat="0" applyBorder="0" applyAlignment="0" applyProtection="0"/>
    <xf numFmtId="0" fontId="14" fillId="10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14" borderId="0" applyNumberFormat="0" applyBorder="0" applyAlignment="0" applyProtection="0"/>
    <xf numFmtId="0" fontId="14" fillId="13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6" borderId="0" applyNumberFormat="0" applyBorder="0" applyAlignment="0" applyProtection="0"/>
    <xf numFmtId="0" fontId="15" fillId="18" borderId="0" applyNumberFormat="0" applyBorder="0" applyAlignment="0" applyProtection="0"/>
    <xf numFmtId="0" fontId="16" fillId="7" borderId="1" applyNumberFormat="0" applyAlignment="0" applyProtection="0"/>
    <xf numFmtId="0" fontId="17" fillId="17" borderId="2" applyNumberFormat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8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1" applyNumberFormat="0" applyAlignment="0" applyProtection="0"/>
    <xf numFmtId="0" fontId="24" fillId="0" borderId="7" applyNumberFormat="0" applyFill="0" applyAlignment="0" applyProtection="0"/>
    <xf numFmtId="0" fontId="25" fillId="10" borderId="0" applyNumberFormat="0" applyBorder="0" applyAlignment="0" applyProtection="0"/>
    <xf numFmtId="0" fontId="33" fillId="0" borderId="0"/>
    <xf numFmtId="0" fontId="33" fillId="0" borderId="0"/>
    <xf numFmtId="0" fontId="1" fillId="4" borderId="8" applyNumberFormat="0" applyFont="0" applyAlignment="0" applyProtection="0"/>
    <xf numFmtId="0" fontId="26" fillId="7" borderId="3" applyNumberFormat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</cellStyleXfs>
  <cellXfs count="156">
    <xf numFmtId="0" fontId="0" fillId="0" borderId="0" xfId="0"/>
    <xf numFmtId="0" fontId="2" fillId="0" borderId="0" xfId="0" applyFont="1"/>
    <xf numFmtId="0" fontId="6" fillId="0" borderId="0" xfId="0" applyFont="1" applyFill="1" applyAlignment="1">
      <alignment horizontal="left" vertical="center"/>
    </xf>
    <xf numFmtId="164" fontId="2" fillId="0" borderId="0" xfId="0" applyNumberFormat="1" applyFont="1" applyFill="1"/>
    <xf numFmtId="0" fontId="8" fillId="0" borderId="0" xfId="0" applyFont="1" applyFill="1" applyAlignment="1">
      <alignment vertical="center"/>
    </xf>
    <xf numFmtId="0" fontId="2" fillId="0" borderId="0" xfId="0" applyFont="1" applyFill="1"/>
    <xf numFmtId="0" fontId="5" fillId="0" borderId="0" xfId="0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19" borderId="10" xfId="0" applyFont="1" applyFill="1" applyBorder="1" applyAlignment="1">
      <alignment horizontal="center" vertical="center" wrapText="1"/>
    </xf>
    <xf numFmtId="0" fontId="4" fillId="19" borderId="10" xfId="0" applyFont="1" applyFill="1" applyBorder="1" applyAlignment="1">
      <alignment horizontal="center" vertical="center"/>
    </xf>
    <xf numFmtId="0" fontId="6" fillId="19" borderId="10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/>
    </xf>
    <xf numFmtId="0" fontId="7" fillId="20" borderId="10" xfId="0" applyFont="1" applyFill="1" applyBorder="1" applyAlignment="1">
      <alignment horizontal="left" vertical="center" wrapText="1"/>
    </xf>
    <xf numFmtId="164" fontId="6" fillId="0" borderId="0" xfId="0" applyNumberFormat="1" applyFont="1"/>
    <xf numFmtId="164" fontId="6" fillId="0" borderId="0" xfId="0" applyNumberFormat="1" applyFont="1" applyFill="1"/>
    <xf numFmtId="4" fontId="4" fillId="0" borderId="10" xfId="0" applyNumberFormat="1" applyFont="1" applyBorder="1" applyAlignment="1">
      <alignment horizontal="right" vertical="center"/>
    </xf>
    <xf numFmtId="4" fontId="4" fillId="0" borderId="10" xfId="0" applyNumberFormat="1" applyFont="1" applyFill="1" applyBorder="1" applyAlignment="1">
      <alignment horizontal="right" vertical="center"/>
    </xf>
    <xf numFmtId="4" fontId="12" fillId="20" borderId="10" xfId="0" applyNumberFormat="1" applyFont="1" applyFill="1" applyBorder="1" applyAlignment="1">
      <alignment horizontal="right" vertical="center"/>
    </xf>
    <xf numFmtId="4" fontId="4" fillId="20" borderId="10" xfId="0" applyNumberFormat="1" applyFont="1" applyFill="1" applyBorder="1" applyAlignment="1">
      <alignment horizontal="right" vertical="center" wrapText="1"/>
    </xf>
    <xf numFmtId="4" fontId="6" fillId="20" borderId="10" xfId="0" applyNumberFormat="1" applyFont="1" applyFill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6" fillId="0" borderId="0" xfId="0" applyNumberFormat="1" applyFont="1" applyFill="1" applyAlignment="1">
      <alignment horizontal="right" vertical="center"/>
    </xf>
    <xf numFmtId="0" fontId="4" fillId="0" borderId="10" xfId="0" applyFont="1" applyBorder="1" applyAlignment="1">
      <alignment horizontal="left" vertical="center" wrapText="1" indent="2"/>
    </xf>
    <xf numFmtId="164" fontId="12" fillId="20" borderId="10" xfId="0" applyNumberFormat="1" applyFont="1" applyFill="1" applyBorder="1" applyAlignment="1">
      <alignment horizontal="right" vertical="center"/>
    </xf>
    <xf numFmtId="164" fontId="4" fillId="0" borderId="10" xfId="0" applyNumberFormat="1" applyFont="1" applyFill="1" applyBorder="1" applyAlignment="1">
      <alignment horizontal="right" vertical="center"/>
    </xf>
    <xf numFmtId="164" fontId="11" fillId="20" borderId="10" xfId="0" applyNumberFormat="1" applyFont="1" applyFill="1" applyBorder="1" applyAlignment="1">
      <alignment horizontal="right" vertical="center"/>
    </xf>
    <xf numFmtId="164" fontId="6" fillId="0" borderId="10" xfId="0" applyNumberFormat="1" applyFont="1" applyBorder="1" applyAlignment="1">
      <alignment horizontal="right" vertical="center"/>
    </xf>
    <xf numFmtId="0" fontId="6" fillId="0" borderId="10" xfId="0" applyFont="1" applyBorder="1"/>
    <xf numFmtId="0" fontId="6" fillId="0" borderId="0" xfId="0" applyFont="1"/>
    <xf numFmtId="0" fontId="6" fillId="19" borderId="10" xfId="0" applyNumberFormat="1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/>
    </xf>
    <xf numFmtId="0" fontId="10" fillId="19" borderId="10" xfId="0" applyFont="1" applyFill="1" applyBorder="1" applyAlignment="1">
      <alignment horizontal="center" vertical="center" wrapText="1"/>
    </xf>
    <xf numFmtId="164" fontId="11" fillId="20" borderId="10" xfId="28" applyNumberFormat="1" applyFont="1" applyFill="1" applyBorder="1" applyAlignment="1">
      <alignment horizontal="right" vertical="center"/>
    </xf>
    <xf numFmtId="4" fontId="11" fillId="20" borderId="14" xfId="0" applyNumberFormat="1" applyFont="1" applyFill="1" applyBorder="1" applyAlignment="1">
      <alignment horizontal="right" vertical="center"/>
    </xf>
    <xf numFmtId="4" fontId="6" fillId="0" borderId="14" xfId="0" applyNumberFormat="1" applyFont="1" applyBorder="1" applyAlignment="1">
      <alignment horizontal="right" vertical="center"/>
    </xf>
    <xf numFmtId="4" fontId="6" fillId="20" borderId="14" xfId="0" applyNumberFormat="1" applyFont="1" applyFill="1" applyBorder="1" applyAlignment="1">
      <alignment horizontal="right" vertical="center"/>
    </xf>
    <xf numFmtId="4" fontId="6" fillId="21" borderId="14" xfId="0" applyNumberFormat="1" applyFont="1" applyFill="1" applyBorder="1" applyAlignment="1">
      <alignment horizontal="right" vertical="center"/>
    </xf>
    <xf numFmtId="4" fontId="11" fillId="22" borderId="14" xfId="0" applyNumberFormat="1" applyFont="1" applyFill="1" applyBorder="1" applyAlignment="1">
      <alignment horizontal="right" vertical="center"/>
    </xf>
    <xf numFmtId="0" fontId="34" fillId="22" borderId="10" xfId="39" applyFont="1" applyFill="1" applyBorder="1" applyAlignment="1">
      <alignment horizontal="left" vertical="center" wrapText="1"/>
    </xf>
    <xf numFmtId="164" fontId="11" fillId="21" borderId="10" xfId="28" applyNumberFormat="1" applyFont="1" applyFill="1" applyBorder="1" applyAlignment="1">
      <alignment horizontal="right" vertical="center"/>
    </xf>
    <xf numFmtId="164" fontId="11" fillId="21" borderId="10" xfId="0" applyNumberFormat="1" applyFont="1" applyFill="1" applyBorder="1" applyAlignment="1">
      <alignment horizontal="right" vertical="center"/>
    </xf>
    <xf numFmtId="164" fontId="11" fillId="22" borderId="10" xfId="0" applyNumberFormat="1" applyFont="1" applyFill="1" applyBorder="1" applyAlignment="1">
      <alignment horizontal="right" vertical="center"/>
    </xf>
    <xf numFmtId="0" fontId="6" fillId="0" borderId="0" xfId="0" applyFont="1" applyFill="1"/>
    <xf numFmtId="0" fontId="6" fillId="0" borderId="0" xfId="0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/>
    <xf numFmtId="0" fontId="12" fillId="0" borderId="0" xfId="0" applyFont="1" applyBorder="1" applyAlignment="1">
      <alignment horizontal="left" vertical="center"/>
    </xf>
    <xf numFmtId="3" fontId="12" fillId="0" borderId="0" xfId="0" applyNumberFormat="1" applyFont="1" applyBorder="1" applyAlignment="1">
      <alignment horizontal="right" vertical="center"/>
    </xf>
    <xf numFmtId="4" fontId="12" fillId="22" borderId="10" xfId="0" applyNumberFormat="1" applyFont="1" applyFill="1" applyBorder="1" applyAlignment="1">
      <alignment horizontal="right" vertical="center"/>
    </xf>
    <xf numFmtId="164" fontId="12" fillId="22" borderId="10" xfId="0" applyNumberFormat="1" applyFont="1" applyFill="1" applyBorder="1" applyAlignment="1">
      <alignment horizontal="right" vertical="center"/>
    </xf>
    <xf numFmtId="4" fontId="6" fillId="0" borderId="1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 vertical="center"/>
    </xf>
    <xf numFmtId="164" fontId="4" fillId="22" borderId="10" xfId="0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left" vertical="center" wrapText="1" indent="2"/>
    </xf>
    <xf numFmtId="4" fontId="11" fillId="22" borderId="10" xfId="0" applyNumberFormat="1" applyFont="1" applyFill="1" applyBorder="1" applyAlignment="1">
      <alignment horizontal="right" vertical="center"/>
    </xf>
    <xf numFmtId="4" fontId="4" fillId="0" borderId="10" xfId="0" applyNumberFormat="1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left" vertical="center" wrapText="1" indent="1"/>
    </xf>
    <xf numFmtId="4" fontId="6" fillId="0" borderId="14" xfId="0" applyNumberFormat="1" applyFont="1" applyFill="1" applyBorder="1" applyAlignment="1">
      <alignment horizontal="right" vertical="center"/>
    </xf>
    <xf numFmtId="164" fontId="11" fillId="0" borderId="10" xfId="28" applyNumberFormat="1" applyFont="1" applyFill="1" applyBorder="1" applyAlignment="1">
      <alignment horizontal="right" vertical="center"/>
    </xf>
    <xf numFmtId="164" fontId="11" fillId="0" borderId="10" xfId="0" applyNumberFormat="1" applyFont="1" applyFill="1" applyBorder="1" applyAlignment="1">
      <alignment horizontal="right" vertical="center"/>
    </xf>
    <xf numFmtId="4" fontId="4" fillId="21" borderId="10" xfId="0" applyNumberFormat="1" applyFont="1" applyFill="1" applyBorder="1" applyAlignment="1">
      <alignment horizontal="right" vertical="center"/>
    </xf>
    <xf numFmtId="164" fontId="4" fillId="21" borderId="10" xfId="0" applyNumberFormat="1" applyFont="1" applyFill="1" applyBorder="1" applyAlignment="1">
      <alignment horizontal="right" vertical="center"/>
    </xf>
    <xf numFmtId="4" fontId="4" fillId="0" borderId="14" xfId="0" applyNumberFormat="1" applyFont="1" applyFill="1" applyBorder="1" applyAlignment="1">
      <alignment vertical="center" wrapText="1"/>
    </xf>
    <xf numFmtId="0" fontId="6" fillId="19" borderId="14" xfId="0" applyFont="1" applyFill="1" applyBorder="1" applyAlignment="1">
      <alignment horizontal="center" vertical="center"/>
    </xf>
    <xf numFmtId="4" fontId="6" fillId="0" borderId="14" xfId="0" applyNumberFormat="1" applyFont="1" applyFill="1" applyBorder="1" applyAlignment="1">
      <alignment vertical="center" wrapText="1"/>
    </xf>
    <xf numFmtId="4" fontId="11" fillId="22" borderId="10" xfId="0" applyNumberFormat="1" applyFont="1" applyFill="1" applyBorder="1" applyAlignment="1">
      <alignment horizontal="right" vertical="center"/>
    </xf>
    <xf numFmtId="4" fontId="11" fillId="22" borderId="10" xfId="0" applyNumberFormat="1" applyFont="1" applyFill="1" applyBorder="1" applyAlignment="1">
      <alignment vertical="center"/>
    </xf>
    <xf numFmtId="4" fontId="4" fillId="20" borderId="10" xfId="0" applyNumberFormat="1" applyFont="1" applyFill="1" applyBorder="1" applyAlignment="1">
      <alignment vertical="center" wrapText="1"/>
    </xf>
    <xf numFmtId="4" fontId="4" fillId="0" borderId="10" xfId="0" applyNumberFormat="1" applyFont="1" applyBorder="1" applyAlignment="1">
      <alignment vertical="center"/>
    </xf>
    <xf numFmtId="4" fontId="4" fillId="0" borderId="10" xfId="0" applyNumberFormat="1" applyFont="1" applyFill="1" applyBorder="1" applyAlignment="1">
      <alignment vertical="center" wrapText="1"/>
    </xf>
    <xf numFmtId="4" fontId="4" fillId="0" borderId="10" xfId="0" applyNumberFormat="1" applyFont="1" applyFill="1" applyBorder="1" applyAlignment="1">
      <alignment vertical="center"/>
    </xf>
    <xf numFmtId="4" fontId="4" fillId="0" borderId="16" xfId="0" applyNumberFormat="1" applyFont="1" applyFill="1" applyBorder="1" applyAlignment="1">
      <alignment horizontal="right" vertical="center"/>
    </xf>
    <xf numFmtId="4" fontId="4" fillId="0" borderId="17" xfId="0" applyNumberFormat="1" applyFont="1" applyFill="1" applyBorder="1" applyAlignment="1">
      <alignment vertical="center" wrapText="1"/>
    </xf>
    <xf numFmtId="164" fontId="11" fillId="22" borderId="16" xfId="0" applyNumberFormat="1" applyFont="1" applyFill="1" applyBorder="1" applyAlignment="1">
      <alignment horizontal="right" vertical="center"/>
    </xf>
    <xf numFmtId="4" fontId="4" fillId="0" borderId="0" xfId="0" applyNumberFormat="1" applyFont="1" applyFill="1" applyBorder="1" applyAlignment="1">
      <alignment horizontal="right" vertical="center" wrapText="1"/>
    </xf>
    <xf numFmtId="164" fontId="6" fillId="0" borderId="0" xfId="0" applyNumberFormat="1" applyFont="1" applyFill="1" applyBorder="1"/>
    <xf numFmtId="4" fontId="4" fillId="0" borderId="18" xfId="0" applyNumberFormat="1" applyFont="1" applyFill="1" applyBorder="1" applyAlignment="1">
      <alignment horizontal="right" vertical="center" wrapText="1"/>
    </xf>
    <xf numFmtId="4" fontId="4" fillId="0" borderId="17" xfId="0" applyNumberFormat="1" applyFont="1" applyFill="1" applyBorder="1" applyAlignment="1">
      <alignment horizontal="right" vertical="center" wrapText="1"/>
    </xf>
    <xf numFmtId="4" fontId="12" fillId="0" borderId="19" xfId="0" applyNumberFormat="1" applyFont="1" applyFill="1" applyBorder="1" applyAlignment="1">
      <alignment horizontal="right" vertical="center" wrapText="1"/>
    </xf>
    <xf numFmtId="4" fontId="4" fillId="20" borderId="14" xfId="0" applyNumberFormat="1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horizontal="right" vertical="center"/>
    </xf>
    <xf numFmtId="4" fontId="11" fillId="0" borderId="0" xfId="0" applyNumberFormat="1" applyFont="1" applyFill="1" applyBorder="1" applyAlignment="1">
      <alignment horizontal="right" vertical="center"/>
    </xf>
    <xf numFmtId="0" fontId="6" fillId="19" borderId="14" xfId="0" applyFont="1" applyFill="1" applyBorder="1" applyAlignment="1">
      <alignment horizontal="center"/>
    </xf>
    <xf numFmtId="0" fontId="10" fillId="20" borderId="10" xfId="0" applyFont="1" applyFill="1" applyBorder="1" applyAlignment="1">
      <alignment horizontal="left" vertical="center" wrapText="1"/>
    </xf>
    <xf numFmtId="164" fontId="4" fillId="22" borderId="14" xfId="0" applyNumberFormat="1" applyFont="1" applyFill="1" applyBorder="1" applyAlignment="1">
      <alignment horizontal="right" vertical="center"/>
    </xf>
    <xf numFmtId="164" fontId="4" fillId="0" borderId="14" xfId="0" applyNumberFormat="1" applyFont="1" applyFill="1" applyBorder="1" applyAlignment="1">
      <alignment horizontal="right" vertical="center"/>
    </xf>
    <xf numFmtId="164" fontId="4" fillId="0" borderId="18" xfId="0" applyNumberFormat="1" applyFont="1" applyFill="1" applyBorder="1" applyAlignment="1">
      <alignment horizontal="right" vertical="center"/>
    </xf>
    <xf numFmtId="4" fontId="12" fillId="22" borderId="10" xfId="0" applyNumberFormat="1" applyFont="1" applyFill="1" applyBorder="1" applyAlignment="1">
      <alignment horizontal="center" vertical="center"/>
    </xf>
    <xf numFmtId="0" fontId="7" fillId="22" borderId="10" xfId="0" applyFont="1" applyFill="1" applyBorder="1" applyAlignment="1">
      <alignment horizontal="left" vertical="center" wrapText="1"/>
    </xf>
    <xf numFmtId="0" fontId="7" fillId="22" borderId="10" xfId="0" applyFont="1" applyFill="1" applyBorder="1" applyAlignment="1">
      <alignment horizontal="left" vertical="center" wrapText="1" indent="1"/>
    </xf>
    <xf numFmtId="0" fontId="7" fillId="0" borderId="10" xfId="0" applyFont="1" applyBorder="1" applyAlignment="1">
      <alignment horizontal="center" vertical="top" wrapText="1"/>
    </xf>
    <xf numFmtId="0" fontId="7" fillId="22" borderId="10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right" vertical="center" wrapText="1"/>
    </xf>
    <xf numFmtId="0" fontId="32" fillId="0" borderId="0" xfId="0" applyFont="1" applyAlignment="1">
      <alignment vertical="center"/>
    </xf>
    <xf numFmtId="0" fontId="10" fillId="0" borderId="10" xfId="0" applyFont="1" applyFill="1" applyBorder="1" applyAlignment="1">
      <alignment horizontal="right" vertical="center"/>
    </xf>
    <xf numFmtId="0" fontId="7" fillId="22" borderId="10" xfId="0" applyFont="1" applyFill="1" applyBorder="1" applyAlignment="1">
      <alignment horizontal="left" vertical="center" wrapText="1" indent="2"/>
    </xf>
    <xf numFmtId="0" fontId="4" fillId="0" borderId="10" xfId="0" applyFont="1" applyFill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6" fillId="0" borderId="10" xfId="0" applyFont="1" applyFill="1" applyBorder="1" applyAlignment="1">
      <alignment horizontal="left" vertical="center" wrapText="1" indent="2"/>
    </xf>
    <xf numFmtId="0" fontId="34" fillId="0" borderId="10" xfId="39" applyFont="1" applyFill="1" applyBorder="1" applyAlignment="1">
      <alignment horizontal="left" vertical="center" wrapText="1" indent="1"/>
    </xf>
    <xf numFmtId="4" fontId="11" fillId="20" borderId="14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/>
    </xf>
    <xf numFmtId="4" fontId="12" fillId="0" borderId="10" xfId="0" applyNumberFormat="1" applyFont="1" applyFill="1" applyBorder="1" applyAlignment="1">
      <alignment horizontal="center" vertical="center"/>
    </xf>
    <xf numFmtId="0" fontId="6" fillId="0" borderId="16" xfId="0" applyFont="1" applyBorder="1"/>
    <xf numFmtId="165" fontId="6" fillId="0" borderId="11" xfId="0" applyNumberFormat="1" applyFont="1" applyBorder="1"/>
    <xf numFmtId="0" fontId="4" fillId="0" borderId="10" xfId="0" applyFont="1" applyFill="1" applyBorder="1" applyAlignment="1">
      <alignment horizontal="left" vertical="center" wrapText="1" indent="4"/>
    </xf>
    <xf numFmtId="0" fontId="4" fillId="21" borderId="10" xfId="0" applyFont="1" applyFill="1" applyBorder="1" applyAlignment="1">
      <alignment horizontal="left" vertical="center" wrapText="1" indent="3"/>
    </xf>
    <xf numFmtId="4" fontId="12" fillId="20" borderId="10" xfId="0" applyNumberFormat="1" applyFont="1" applyFill="1" applyBorder="1" applyAlignment="1">
      <alignment horizontal="right" vertical="center" wrapText="1"/>
    </xf>
    <xf numFmtId="0" fontId="10" fillId="0" borderId="20" xfId="39" applyFont="1" applyFill="1" applyBorder="1" applyAlignment="1">
      <alignment horizontal="left" vertical="center"/>
    </xf>
    <xf numFmtId="0" fontId="7" fillId="22" borderId="10" xfId="0" applyFont="1" applyFill="1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horizontal="center" vertical="center"/>
    </xf>
    <xf numFmtId="0" fontId="35" fillId="0" borderId="0" xfId="0" applyFont="1"/>
    <xf numFmtId="0" fontId="7" fillId="19" borderId="10" xfId="0" applyFont="1" applyFill="1" applyBorder="1" applyAlignment="1">
      <alignment horizontal="center" vertical="center"/>
    </xf>
    <xf numFmtId="0" fontId="6" fillId="19" borderId="10" xfId="0" applyFont="1" applyFill="1" applyBorder="1" applyAlignment="1">
      <alignment horizontal="center" vertical="center" wrapText="1"/>
    </xf>
    <xf numFmtId="0" fontId="6" fillId="19" borderId="14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/>
    </xf>
    <xf numFmtId="0" fontId="4" fillId="19" borderId="17" xfId="0" applyFont="1" applyFill="1" applyBorder="1" applyAlignment="1">
      <alignment horizontal="center" vertical="center"/>
    </xf>
    <xf numFmtId="0" fontId="4" fillId="19" borderId="19" xfId="0" applyFont="1" applyFill="1" applyBorder="1" applyAlignment="1">
      <alignment horizontal="center" vertical="center"/>
    </xf>
    <xf numFmtId="0" fontId="4" fillId="19" borderId="21" xfId="0" applyFont="1" applyFill="1" applyBorder="1" applyAlignment="1">
      <alignment horizontal="center" vertical="center"/>
    </xf>
    <xf numFmtId="0" fontId="4" fillId="19" borderId="22" xfId="0" applyFont="1" applyFill="1" applyBorder="1" applyAlignment="1">
      <alignment horizontal="center" vertical="center"/>
    </xf>
    <xf numFmtId="0" fontId="4" fillId="19" borderId="23" xfId="0" applyFont="1" applyFill="1" applyBorder="1" applyAlignment="1">
      <alignment horizontal="center" vertical="center"/>
    </xf>
    <xf numFmtId="0" fontId="4" fillId="19" borderId="13" xfId="0" applyFont="1" applyFill="1" applyBorder="1" applyAlignment="1">
      <alignment horizontal="center" vertical="center"/>
    </xf>
    <xf numFmtId="0" fontId="4" fillId="19" borderId="14" xfId="0" applyFont="1" applyFill="1" applyBorder="1" applyAlignment="1">
      <alignment horizontal="center" vertical="center"/>
    </xf>
    <xf numFmtId="0" fontId="4" fillId="19" borderId="15" xfId="0" applyFont="1" applyFill="1" applyBorder="1" applyAlignment="1">
      <alignment horizontal="center" vertical="center"/>
    </xf>
    <xf numFmtId="0" fontId="4" fillId="19" borderId="12" xfId="0" applyFont="1" applyFill="1" applyBorder="1" applyAlignment="1">
      <alignment horizontal="center" vertical="center"/>
    </xf>
    <xf numFmtId="0" fontId="6" fillId="19" borderId="16" xfId="0" applyFont="1" applyFill="1" applyBorder="1" applyAlignment="1">
      <alignment horizontal="center" vertical="center" wrapText="1"/>
    </xf>
    <xf numFmtId="0" fontId="6" fillId="19" borderId="25" xfId="0" applyFont="1" applyFill="1" applyBorder="1" applyAlignment="1">
      <alignment horizontal="center" vertical="center" wrapText="1"/>
    </xf>
    <xf numFmtId="0" fontId="6" fillId="19" borderId="11" xfId="0" applyFont="1" applyFill="1" applyBorder="1" applyAlignment="1">
      <alignment horizontal="center" vertical="center" wrapText="1"/>
    </xf>
    <xf numFmtId="4" fontId="12" fillId="0" borderId="19" xfId="0" applyNumberFormat="1" applyFont="1" applyFill="1" applyBorder="1" applyAlignment="1">
      <alignment horizontal="right" vertical="center" wrapText="1"/>
    </xf>
    <xf numFmtId="0" fontId="4" fillId="19" borderId="10" xfId="0" applyFont="1" applyFill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 wrapText="1"/>
    </xf>
    <xf numFmtId="165" fontId="6" fillId="0" borderId="14" xfId="0" applyNumberFormat="1" applyFont="1" applyBorder="1" applyAlignment="1">
      <alignment horizontal="center"/>
    </xf>
    <xf numFmtId="165" fontId="6" fillId="0" borderId="12" xfId="0" applyNumberFormat="1" applyFont="1" applyBorder="1" applyAlignment="1">
      <alignment horizontal="center"/>
    </xf>
    <xf numFmtId="0" fontId="6" fillId="19" borderId="12" xfId="0" applyFont="1" applyFill="1" applyBorder="1" applyAlignment="1">
      <alignment horizontal="center" vertical="center"/>
    </xf>
    <xf numFmtId="0" fontId="6" fillId="19" borderId="12" xfId="0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 wrapText="1"/>
    </xf>
    <xf numFmtId="0" fontId="6" fillId="19" borderId="17" xfId="0" applyFont="1" applyFill="1" applyBorder="1" applyAlignment="1">
      <alignment horizontal="center" vertical="center"/>
    </xf>
    <xf numFmtId="0" fontId="6" fillId="19" borderId="19" xfId="0" applyFont="1" applyFill="1" applyBorder="1" applyAlignment="1">
      <alignment horizontal="center" vertical="center"/>
    </xf>
    <xf numFmtId="0" fontId="6" fillId="19" borderId="21" xfId="0" applyFont="1" applyFill="1" applyBorder="1" applyAlignment="1">
      <alignment horizontal="center" vertical="center"/>
    </xf>
    <xf numFmtId="0" fontId="6" fillId="19" borderId="18" xfId="0" applyFont="1" applyFill="1" applyBorder="1" applyAlignment="1">
      <alignment horizontal="center" vertical="center"/>
    </xf>
    <xf numFmtId="0" fontId="6" fillId="19" borderId="0" xfId="0" applyFont="1" applyFill="1" applyBorder="1" applyAlignment="1">
      <alignment horizontal="center" vertical="center"/>
    </xf>
    <xf numFmtId="0" fontId="6" fillId="19" borderId="24" xfId="0" applyFont="1" applyFill="1" applyBorder="1" applyAlignment="1">
      <alignment horizontal="center" vertical="center"/>
    </xf>
    <xf numFmtId="0" fontId="6" fillId="19" borderId="22" xfId="0" applyFont="1" applyFill="1" applyBorder="1" applyAlignment="1">
      <alignment horizontal="center" vertical="center"/>
    </xf>
    <xf numFmtId="0" fontId="6" fillId="19" borderId="23" xfId="0" applyFont="1" applyFill="1" applyBorder="1" applyAlignment="1">
      <alignment horizontal="center" vertical="center"/>
    </xf>
    <xf numFmtId="0" fontId="6" fillId="19" borderId="13" xfId="0" applyFont="1" applyFill="1" applyBorder="1" applyAlignment="1">
      <alignment horizontal="center" vertical="center"/>
    </xf>
    <xf numFmtId="0" fontId="6" fillId="19" borderId="14" xfId="0" applyFont="1" applyFill="1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</cellXfs>
  <cellStyles count="4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Dziesiętny 2" xfId="28"/>
    <cellStyle name="Dziesiętny 3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ny" xfId="0" builtinId="0"/>
    <cellStyle name="Normalny 2" xfId="39"/>
    <cellStyle name="Normalny 2 2" xfId="40"/>
    <cellStyle name="Note" xfId="41"/>
    <cellStyle name="Output" xfId="42"/>
    <cellStyle name="Title" xfId="43"/>
    <cellStyle name="Total" xfId="44"/>
    <cellStyle name="Warning Text" xfId="4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outlinePr summaryBelow="0"/>
  </sheetPr>
  <dimension ref="A1:Z103"/>
  <sheetViews>
    <sheetView tabSelected="1" topLeftCell="B1" zoomScaleNormal="100" workbookViewId="0"/>
  </sheetViews>
  <sheetFormatPr defaultRowHeight="12.75" outlineLevelRow="1" outlineLevelCol="1" x14ac:dyDescent="0.2"/>
  <cols>
    <col min="1" max="1" width="5.7109375" style="1" hidden="1" customWidth="1"/>
    <col min="2" max="2" width="30.7109375" style="1" customWidth="1"/>
    <col min="3" max="4" width="14.5703125" style="1" customWidth="1"/>
    <col min="5" max="5" width="14.5703125" style="1" customWidth="1" outlineLevel="1"/>
    <col min="6" max="6" width="13.85546875" style="1" customWidth="1" outlineLevel="1"/>
    <col min="7" max="9" width="13" style="1" customWidth="1" outlineLevel="1"/>
    <col min="10" max="10" width="13" style="1" customWidth="1"/>
    <col min="11" max="11" width="7.42578125" style="1" customWidth="1"/>
    <col min="12" max="12" width="8.42578125" style="1" customWidth="1"/>
    <col min="13" max="13" width="8.5703125" style="1" customWidth="1"/>
    <col min="14" max="16384" width="9.140625" style="1"/>
  </cols>
  <sheetData>
    <row r="1" spans="2:17" ht="18" customHeight="1" x14ac:dyDescent="0.2">
      <c r="B1" s="100" t="str">
        <f>CONCATENATE("Informacja z wykonania budżetów województw za ",$D$100," ",$C$101," rok    ",$C$103,"")</f>
        <v xml:space="preserve">Informacja z wykonania budżetów województw za IV Kwartały 2022 rok    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2:17" ht="60" customHeight="1" x14ac:dyDescent="0.2">
      <c r="B2" s="120" t="s">
        <v>0</v>
      </c>
      <c r="C2" s="13" t="s">
        <v>27</v>
      </c>
      <c r="D2" s="13" t="s">
        <v>28</v>
      </c>
      <c r="E2" s="13" t="s">
        <v>91</v>
      </c>
      <c r="F2" s="13" t="s">
        <v>92</v>
      </c>
      <c r="G2" s="13" t="s">
        <v>93</v>
      </c>
      <c r="H2" s="13" t="s">
        <v>94</v>
      </c>
      <c r="I2" s="13" t="s">
        <v>95</v>
      </c>
      <c r="J2" s="14" t="s">
        <v>2</v>
      </c>
      <c r="K2" s="13" t="s">
        <v>18</v>
      </c>
      <c r="L2" s="13" t="s">
        <v>3</v>
      </c>
    </row>
    <row r="3" spans="2:17" ht="9.75" customHeight="1" x14ac:dyDescent="0.2">
      <c r="B3" s="120"/>
      <c r="C3" s="130" t="s">
        <v>61</v>
      </c>
      <c r="D3" s="132"/>
      <c r="E3" s="124" t="s">
        <v>89</v>
      </c>
      <c r="F3" s="125"/>
      <c r="G3" s="125"/>
      <c r="H3" s="125"/>
      <c r="I3" s="126"/>
      <c r="J3" s="130" t="s">
        <v>4</v>
      </c>
      <c r="K3" s="131"/>
      <c r="L3" s="132"/>
    </row>
    <row r="4" spans="2:17" ht="9" customHeight="1" x14ac:dyDescent="0.2">
      <c r="B4" s="14">
        <v>1</v>
      </c>
      <c r="C4" s="16">
        <v>2</v>
      </c>
      <c r="D4" s="16">
        <v>3</v>
      </c>
      <c r="E4" s="127"/>
      <c r="F4" s="128"/>
      <c r="G4" s="128"/>
      <c r="H4" s="128"/>
      <c r="I4" s="129"/>
      <c r="J4" s="16">
        <v>4</v>
      </c>
      <c r="K4" s="16">
        <v>5</v>
      </c>
      <c r="L4" s="16">
        <v>6</v>
      </c>
    </row>
    <row r="5" spans="2:17" ht="12.95" customHeight="1" x14ac:dyDescent="0.2">
      <c r="B5" s="98" t="s">
        <v>5</v>
      </c>
      <c r="C5" s="55">
        <f>24803454668.15</f>
        <v>24803454668.150002</v>
      </c>
      <c r="D5" s="55">
        <f>24642692637.73</f>
        <v>24642692637.73</v>
      </c>
      <c r="E5" s="94" t="s">
        <v>89</v>
      </c>
      <c r="F5" s="94" t="s">
        <v>89</v>
      </c>
      <c r="G5" s="94" t="s">
        <v>89</v>
      </c>
      <c r="H5" s="94" t="s">
        <v>89</v>
      </c>
      <c r="I5" s="94" t="s">
        <v>89</v>
      </c>
      <c r="J5" s="56">
        <f t="shared" ref="J5:J39" si="0">IF($D$5=0,"",100*$D5/$D$5)</f>
        <v>100</v>
      </c>
      <c r="K5" s="56">
        <f t="shared" ref="K5:K42" si="1">IF(C5=0,"",100*D5/C5)</f>
        <v>99.351856293524975</v>
      </c>
      <c r="L5" s="56"/>
      <c r="M5" s="34"/>
      <c r="N5" s="34"/>
      <c r="O5" s="34"/>
      <c r="P5" s="34"/>
      <c r="Q5" s="34"/>
    </row>
    <row r="6" spans="2:17" ht="27" customHeight="1" x14ac:dyDescent="0.2">
      <c r="B6" s="96" t="s">
        <v>42</v>
      </c>
      <c r="C6" s="22">
        <f>C5-C11-C35</f>
        <v>13833627102.060001</v>
      </c>
      <c r="D6" s="22">
        <f>D5-D11-D35</f>
        <v>14009455607.32</v>
      </c>
      <c r="E6" s="94" t="s">
        <v>89</v>
      </c>
      <c r="F6" s="94" t="s">
        <v>89</v>
      </c>
      <c r="G6" s="94" t="s">
        <v>89</v>
      </c>
      <c r="H6" s="94" t="s">
        <v>89</v>
      </c>
      <c r="I6" s="94" t="s">
        <v>89</v>
      </c>
      <c r="J6" s="29">
        <f t="shared" si="0"/>
        <v>56.850344291801804</v>
      </c>
      <c r="K6" s="29">
        <f t="shared" si="1"/>
        <v>101.27102244380879</v>
      </c>
      <c r="L6" s="29">
        <f>IF($D$6=0,"",100*$D6/$D$6)</f>
        <v>100</v>
      </c>
      <c r="M6" s="34"/>
      <c r="N6" s="34"/>
      <c r="O6" s="34"/>
      <c r="P6" s="34"/>
      <c r="Q6" s="34"/>
    </row>
    <row r="7" spans="2:17" ht="22.5" outlineLevel="1" x14ac:dyDescent="0.2">
      <c r="B7" s="28" t="s">
        <v>26</v>
      </c>
      <c r="C7" s="20">
        <f>9788100000</f>
        <v>9788100000</v>
      </c>
      <c r="D7" s="20">
        <f>9787464630.27</f>
        <v>9787464630.2700005</v>
      </c>
      <c r="E7" s="110" t="s">
        <v>89</v>
      </c>
      <c r="F7" s="110" t="s">
        <v>89</v>
      </c>
      <c r="G7" s="110" t="s">
        <v>89</v>
      </c>
      <c r="H7" s="110" t="s">
        <v>89</v>
      </c>
      <c r="I7" s="110" t="s">
        <v>89</v>
      </c>
      <c r="J7" s="30">
        <f t="shared" si="0"/>
        <v>39.717512912061331</v>
      </c>
      <c r="K7" s="30">
        <f t="shared" si="1"/>
        <v>99.993508753179881</v>
      </c>
      <c r="L7" s="30">
        <f>IF($D$6=0,"",100*$D7/$D$6)</f>
        <v>69.863275951679441</v>
      </c>
      <c r="M7" s="34"/>
      <c r="N7" s="34"/>
      <c r="O7" s="34"/>
      <c r="P7" s="34"/>
      <c r="Q7" s="34"/>
    </row>
    <row r="8" spans="2:17" ht="22.5" outlineLevel="1" x14ac:dyDescent="0.2">
      <c r="B8" s="60" t="s">
        <v>19</v>
      </c>
      <c r="C8" s="21">
        <f>2342331296.77</f>
        <v>2342331296.77</v>
      </c>
      <c r="D8" s="21">
        <f>2342331296.1</f>
        <v>2342331296.0999999</v>
      </c>
      <c r="E8" s="110" t="s">
        <v>89</v>
      </c>
      <c r="F8" s="110" t="s">
        <v>89</v>
      </c>
      <c r="G8" s="110" t="s">
        <v>89</v>
      </c>
      <c r="H8" s="110" t="s">
        <v>89</v>
      </c>
      <c r="I8" s="110" t="s">
        <v>89</v>
      </c>
      <c r="J8" s="30">
        <f t="shared" si="0"/>
        <v>9.5051759583840987</v>
      </c>
      <c r="K8" s="30">
        <f t="shared" si="1"/>
        <v>99.999999971396022</v>
      </c>
      <c r="L8" s="30">
        <f>IF($D$6=0,"",100*$D8/$D$6)</f>
        <v>16.719645372059439</v>
      </c>
      <c r="M8" s="34"/>
      <c r="N8" s="34"/>
      <c r="O8" s="34"/>
      <c r="P8" s="34"/>
      <c r="Q8" s="34"/>
    </row>
    <row r="9" spans="2:17" ht="12.75" customHeight="1" outlineLevel="1" x14ac:dyDescent="0.2">
      <c r="B9" s="60" t="s">
        <v>20</v>
      </c>
      <c r="C9" s="21">
        <f>184140318.5</f>
        <v>184140318.5</v>
      </c>
      <c r="D9" s="57">
        <f>227484817.01</f>
        <v>227484817.00999999</v>
      </c>
      <c r="E9" s="110" t="s">
        <v>89</v>
      </c>
      <c r="F9" s="110" t="s">
        <v>89</v>
      </c>
      <c r="G9" s="110" t="s">
        <v>89</v>
      </c>
      <c r="H9" s="110" t="s">
        <v>89</v>
      </c>
      <c r="I9" s="110" t="s">
        <v>89</v>
      </c>
      <c r="J9" s="30">
        <f t="shared" si="0"/>
        <v>0.92313295610278379</v>
      </c>
      <c r="K9" s="30">
        <f t="shared" si="1"/>
        <v>123.53884193482591</v>
      </c>
      <c r="L9" s="30">
        <f>IF($D$6=0,"",100*$D9/$D$6)</f>
        <v>1.6237948381887033</v>
      </c>
      <c r="M9" s="34"/>
      <c r="N9" s="34"/>
      <c r="O9" s="34"/>
      <c r="P9" s="34"/>
      <c r="Q9" s="34"/>
    </row>
    <row r="10" spans="2:17" ht="12.75" customHeight="1" outlineLevel="1" x14ac:dyDescent="0.2">
      <c r="B10" s="60" t="s">
        <v>21</v>
      </c>
      <c r="C10" s="21">
        <f>C6-C7-C8-C9</f>
        <v>1519055486.7900014</v>
      </c>
      <c r="D10" s="21">
        <f>D6-D7-D8-D9</f>
        <v>1652174863.9399993</v>
      </c>
      <c r="E10" s="110" t="s">
        <v>89</v>
      </c>
      <c r="F10" s="110" t="s">
        <v>89</v>
      </c>
      <c r="G10" s="110" t="s">
        <v>89</v>
      </c>
      <c r="H10" s="110" t="s">
        <v>89</v>
      </c>
      <c r="I10" s="110" t="s">
        <v>89</v>
      </c>
      <c r="J10" s="30">
        <f t="shared" si="0"/>
        <v>6.7045224652535866</v>
      </c>
      <c r="K10" s="30">
        <f t="shared" si="1"/>
        <v>108.76329918871494</v>
      </c>
      <c r="L10" s="30">
        <f>IF($D$6=0,"",100*$D10/$D$6)</f>
        <v>11.793283838072416</v>
      </c>
      <c r="M10" s="34"/>
      <c r="N10" s="34"/>
      <c r="O10" s="34"/>
      <c r="P10" s="34"/>
      <c r="Q10" s="34"/>
    </row>
    <row r="11" spans="2:17" ht="27" customHeight="1" x14ac:dyDescent="0.2">
      <c r="B11" s="96" t="s">
        <v>90</v>
      </c>
      <c r="C11" s="55">
        <f>C12+C31+C33</f>
        <v>6712867642.0900002</v>
      </c>
      <c r="D11" s="55">
        <f>D12+D31+D33</f>
        <v>6376281889.4099998</v>
      </c>
      <c r="E11" s="94" t="s">
        <v>89</v>
      </c>
      <c r="F11" s="94" t="s">
        <v>89</v>
      </c>
      <c r="G11" s="94" t="s">
        <v>89</v>
      </c>
      <c r="H11" s="94" t="s">
        <v>89</v>
      </c>
      <c r="I11" s="94" t="s">
        <v>89</v>
      </c>
      <c r="J11" s="56">
        <f t="shared" si="0"/>
        <v>25.874939817442616</v>
      </c>
      <c r="K11" s="56">
        <f t="shared" si="1"/>
        <v>94.985961728641996</v>
      </c>
      <c r="L11" s="58"/>
      <c r="M11" s="34"/>
      <c r="N11" s="34"/>
      <c r="O11" s="34"/>
      <c r="P11" s="34"/>
      <c r="Q11" s="34"/>
    </row>
    <row r="12" spans="2:17" ht="27" customHeight="1" outlineLevel="1" x14ac:dyDescent="0.2">
      <c r="B12" s="102" t="s">
        <v>43</v>
      </c>
      <c r="C12" s="55">
        <f>C13+C15+C17+C19+C21+C23+C25+C27+C29</f>
        <v>1971845757.5300002</v>
      </c>
      <c r="D12" s="55">
        <f>D13+D15+D17+D19+D21+D23+D25+D27+D29</f>
        <v>1876401359.8500001</v>
      </c>
      <c r="E12" s="94" t="s">
        <v>89</v>
      </c>
      <c r="F12" s="94" t="s">
        <v>89</v>
      </c>
      <c r="G12" s="94" t="s">
        <v>89</v>
      </c>
      <c r="H12" s="94" t="s">
        <v>89</v>
      </c>
      <c r="I12" s="94" t="s">
        <v>89</v>
      </c>
      <c r="J12" s="56">
        <f t="shared" si="0"/>
        <v>7.6144331605105293</v>
      </c>
      <c r="K12" s="56">
        <f t="shared" si="1"/>
        <v>95.159641806894825</v>
      </c>
      <c r="L12" s="26"/>
      <c r="M12" s="34"/>
      <c r="N12" s="34"/>
      <c r="O12" s="34"/>
      <c r="P12" s="34"/>
      <c r="Q12" s="34"/>
    </row>
    <row r="13" spans="2:17" ht="22.5" outlineLevel="1" x14ac:dyDescent="0.2">
      <c r="B13" s="103" t="s">
        <v>9</v>
      </c>
      <c r="C13" s="21">
        <f>1393037920.93</f>
        <v>1393037920.9300001</v>
      </c>
      <c r="D13" s="21">
        <f>1371544470.05</f>
        <v>1371544470.05</v>
      </c>
      <c r="E13" s="110" t="s">
        <v>89</v>
      </c>
      <c r="F13" s="110" t="s">
        <v>89</v>
      </c>
      <c r="G13" s="110" t="s">
        <v>89</v>
      </c>
      <c r="H13" s="110" t="s">
        <v>89</v>
      </c>
      <c r="I13" s="110" t="s">
        <v>89</v>
      </c>
      <c r="J13" s="30">
        <f t="shared" si="0"/>
        <v>5.5657248589387187</v>
      </c>
      <c r="K13" s="30">
        <f t="shared" si="1"/>
        <v>98.457080704188513</v>
      </c>
      <c r="L13" s="26"/>
      <c r="M13" s="34"/>
      <c r="N13" s="34"/>
      <c r="O13" s="34"/>
      <c r="P13" s="34"/>
      <c r="Q13" s="34"/>
    </row>
    <row r="14" spans="2:17" ht="12.75" customHeight="1" outlineLevel="1" x14ac:dyDescent="0.2">
      <c r="B14" s="113" t="s">
        <v>6</v>
      </c>
      <c r="C14" s="21">
        <f>3598423</f>
        <v>3598423</v>
      </c>
      <c r="D14" s="21">
        <f>3579835.18</f>
        <v>3579835.18</v>
      </c>
      <c r="E14" s="110" t="s">
        <v>89</v>
      </c>
      <c r="F14" s="110" t="s">
        <v>89</v>
      </c>
      <c r="G14" s="110" t="s">
        <v>89</v>
      </c>
      <c r="H14" s="110" t="s">
        <v>89</v>
      </c>
      <c r="I14" s="110" t="s">
        <v>89</v>
      </c>
      <c r="J14" s="30">
        <f t="shared" si="0"/>
        <v>1.4526964372874483E-2</v>
      </c>
      <c r="K14" s="30">
        <f t="shared" si="1"/>
        <v>99.483445387048718</v>
      </c>
      <c r="L14" s="26"/>
      <c r="M14" s="34"/>
      <c r="N14" s="34"/>
      <c r="O14" s="34"/>
      <c r="P14" s="34"/>
      <c r="Q14" s="34"/>
    </row>
    <row r="15" spans="2:17" ht="12.75" customHeight="1" outlineLevel="1" x14ac:dyDescent="0.2">
      <c r="B15" s="103" t="s">
        <v>7</v>
      </c>
      <c r="C15" s="21">
        <f>75945937.2</f>
        <v>75945937.200000003</v>
      </c>
      <c r="D15" s="21">
        <f>56001084.67</f>
        <v>56001084.670000002</v>
      </c>
      <c r="E15" s="110" t="s">
        <v>89</v>
      </c>
      <c r="F15" s="110" t="s">
        <v>89</v>
      </c>
      <c r="G15" s="110" t="s">
        <v>89</v>
      </c>
      <c r="H15" s="110" t="s">
        <v>89</v>
      </c>
      <c r="I15" s="110" t="s">
        <v>89</v>
      </c>
      <c r="J15" s="30">
        <f t="shared" si="0"/>
        <v>0.22725229540970579</v>
      </c>
      <c r="K15" s="30">
        <f t="shared" si="1"/>
        <v>73.738091509126832</v>
      </c>
      <c r="L15" s="26"/>
      <c r="M15" s="34"/>
      <c r="N15" s="34"/>
      <c r="O15" s="34"/>
      <c r="P15" s="34"/>
      <c r="Q15" s="34"/>
    </row>
    <row r="16" spans="2:17" ht="12.75" customHeight="1" outlineLevel="1" x14ac:dyDescent="0.2">
      <c r="B16" s="113" t="s">
        <v>6</v>
      </c>
      <c r="C16" s="21">
        <f>50299789</f>
        <v>50299789</v>
      </c>
      <c r="D16" s="21">
        <f>30548669.36</f>
        <v>30548669.359999999</v>
      </c>
      <c r="E16" s="110" t="s">
        <v>89</v>
      </c>
      <c r="F16" s="110" t="s">
        <v>89</v>
      </c>
      <c r="G16" s="110" t="s">
        <v>89</v>
      </c>
      <c r="H16" s="110" t="s">
        <v>89</v>
      </c>
      <c r="I16" s="110" t="s">
        <v>89</v>
      </c>
      <c r="J16" s="30">
        <f t="shared" si="0"/>
        <v>0.12396644234091311</v>
      </c>
      <c r="K16" s="30">
        <f t="shared" si="1"/>
        <v>60.733195839052129</v>
      </c>
      <c r="L16" s="26"/>
      <c r="M16" s="34"/>
      <c r="N16" s="34"/>
      <c r="O16" s="34"/>
      <c r="P16" s="34"/>
      <c r="Q16" s="34"/>
    </row>
    <row r="17" spans="2:17" ht="33.75" outlineLevel="1" x14ac:dyDescent="0.2">
      <c r="B17" s="103" t="s">
        <v>10</v>
      </c>
      <c r="C17" s="21">
        <f>29578775.65</f>
        <v>29578775.649999999</v>
      </c>
      <c r="D17" s="21">
        <f>27878171.26</f>
        <v>27878171.260000002</v>
      </c>
      <c r="E17" s="110" t="s">
        <v>89</v>
      </c>
      <c r="F17" s="110" t="s">
        <v>89</v>
      </c>
      <c r="G17" s="110" t="s">
        <v>89</v>
      </c>
      <c r="H17" s="110" t="s">
        <v>89</v>
      </c>
      <c r="I17" s="110" t="s">
        <v>89</v>
      </c>
      <c r="J17" s="30">
        <f t="shared" si="0"/>
        <v>0.11312956611452522</v>
      </c>
      <c r="K17" s="30">
        <f t="shared" si="1"/>
        <v>94.250592349991337</v>
      </c>
      <c r="L17" s="26"/>
      <c r="M17" s="34"/>
      <c r="N17" s="34"/>
      <c r="O17" s="34"/>
      <c r="P17" s="34"/>
      <c r="Q17" s="34"/>
    </row>
    <row r="18" spans="2:17" ht="12.75" customHeight="1" outlineLevel="1" x14ac:dyDescent="0.2">
      <c r="B18" s="113" t="s">
        <v>6</v>
      </c>
      <c r="C18" s="21">
        <f>100000</f>
        <v>100000</v>
      </c>
      <c r="D18" s="21">
        <f>100000</f>
        <v>100000</v>
      </c>
      <c r="E18" s="110" t="s">
        <v>89</v>
      </c>
      <c r="F18" s="110" t="s">
        <v>89</v>
      </c>
      <c r="G18" s="110" t="s">
        <v>89</v>
      </c>
      <c r="H18" s="110" t="s">
        <v>89</v>
      </c>
      <c r="I18" s="110" t="s">
        <v>89</v>
      </c>
      <c r="J18" s="30">
        <f t="shared" si="0"/>
        <v>4.0579981039446858E-4</v>
      </c>
      <c r="K18" s="30">
        <f t="shared" si="1"/>
        <v>100</v>
      </c>
      <c r="L18" s="26"/>
      <c r="M18" s="34"/>
      <c r="N18" s="34"/>
      <c r="O18" s="34"/>
      <c r="P18" s="34"/>
      <c r="Q18" s="34"/>
    </row>
    <row r="19" spans="2:17" ht="24" customHeight="1" outlineLevel="1" x14ac:dyDescent="0.2">
      <c r="B19" s="103" t="s">
        <v>11</v>
      </c>
      <c r="C19" s="21">
        <f>69377516.16</f>
        <v>69377516.159999996</v>
      </c>
      <c r="D19" s="21">
        <f>63084496.55</f>
        <v>63084496.549999997</v>
      </c>
      <c r="E19" s="110" t="s">
        <v>89</v>
      </c>
      <c r="F19" s="110" t="s">
        <v>89</v>
      </c>
      <c r="G19" s="110" t="s">
        <v>89</v>
      </c>
      <c r="H19" s="110" t="s">
        <v>89</v>
      </c>
      <c r="I19" s="110" t="s">
        <v>89</v>
      </c>
      <c r="J19" s="30">
        <f t="shared" si="0"/>
        <v>0.25599676738820504</v>
      </c>
      <c r="K19" s="30">
        <f t="shared" si="1"/>
        <v>90.9293097269627</v>
      </c>
      <c r="L19" s="26"/>
      <c r="M19" s="34"/>
      <c r="N19" s="34"/>
      <c r="O19" s="34"/>
      <c r="P19" s="34"/>
      <c r="Q19" s="34"/>
    </row>
    <row r="20" spans="2:17" ht="12.75" customHeight="1" outlineLevel="1" x14ac:dyDescent="0.2">
      <c r="B20" s="113" t="s">
        <v>6</v>
      </c>
      <c r="C20" s="21">
        <f>19509667.5</f>
        <v>19509667.5</v>
      </c>
      <c r="D20" s="21">
        <f>13899519.18</f>
        <v>13899519.18</v>
      </c>
      <c r="E20" s="110" t="s">
        <v>89</v>
      </c>
      <c r="F20" s="110" t="s">
        <v>89</v>
      </c>
      <c r="G20" s="110" t="s">
        <v>89</v>
      </c>
      <c r="H20" s="110" t="s">
        <v>89</v>
      </c>
      <c r="I20" s="110" t="s">
        <v>89</v>
      </c>
      <c r="J20" s="30">
        <f t="shared" si="0"/>
        <v>5.6404222478182789E-2</v>
      </c>
      <c r="K20" s="30">
        <f t="shared" si="1"/>
        <v>71.24426482409298</v>
      </c>
      <c r="L20" s="26"/>
      <c r="M20" s="34"/>
      <c r="N20" s="34"/>
      <c r="O20" s="34"/>
      <c r="P20" s="34"/>
      <c r="Q20" s="34"/>
    </row>
    <row r="21" spans="2:17" ht="33.75" customHeight="1" outlineLevel="1" x14ac:dyDescent="0.2">
      <c r="B21" s="103" t="s">
        <v>62</v>
      </c>
      <c r="C21" s="21">
        <f>207321934.49</f>
        <v>207321934.49000001</v>
      </c>
      <c r="D21" s="21">
        <f>193803557.65</f>
        <v>193803557.65000001</v>
      </c>
      <c r="E21" s="110" t="s">
        <v>89</v>
      </c>
      <c r="F21" s="110" t="s">
        <v>89</v>
      </c>
      <c r="G21" s="110" t="s">
        <v>89</v>
      </c>
      <c r="H21" s="110" t="s">
        <v>89</v>
      </c>
      <c r="I21" s="110" t="s">
        <v>89</v>
      </c>
      <c r="J21" s="30">
        <f t="shared" si="0"/>
        <v>0.7864544694814346</v>
      </c>
      <c r="K21" s="30">
        <f t="shared" si="1"/>
        <v>93.479524068085496</v>
      </c>
      <c r="L21" s="26"/>
      <c r="M21" s="34"/>
      <c r="N21" s="34"/>
      <c r="O21" s="34"/>
      <c r="P21" s="34"/>
      <c r="Q21" s="34"/>
    </row>
    <row r="22" spans="2:17" ht="12.75" customHeight="1" outlineLevel="1" x14ac:dyDescent="0.2">
      <c r="B22" s="113" t="s">
        <v>6</v>
      </c>
      <c r="C22" s="21">
        <f>143873399.01</f>
        <v>143873399.00999999</v>
      </c>
      <c r="D22" s="21">
        <f>132321886.44</f>
        <v>132321886.44</v>
      </c>
      <c r="E22" s="110" t="s">
        <v>89</v>
      </c>
      <c r="F22" s="110" t="s">
        <v>89</v>
      </c>
      <c r="G22" s="110" t="s">
        <v>89</v>
      </c>
      <c r="H22" s="110" t="s">
        <v>89</v>
      </c>
      <c r="I22" s="110" t="s">
        <v>89</v>
      </c>
      <c r="J22" s="30">
        <f t="shared" si="0"/>
        <v>0.53696196428390397</v>
      </c>
      <c r="K22" s="30">
        <f t="shared" si="1"/>
        <v>91.971057436964358</v>
      </c>
      <c r="L22" s="26"/>
      <c r="M22" s="34"/>
      <c r="N22" s="34"/>
      <c r="O22" s="34"/>
      <c r="P22" s="34"/>
      <c r="Q22" s="34"/>
    </row>
    <row r="23" spans="2:17" outlineLevel="1" x14ac:dyDescent="0.2">
      <c r="B23" s="103" t="s">
        <v>8</v>
      </c>
      <c r="C23" s="21">
        <f>70276813</f>
        <v>70276813</v>
      </c>
      <c r="D23" s="21">
        <f>68742424.65</f>
        <v>68742424.650000006</v>
      </c>
      <c r="E23" s="110" t="s">
        <v>89</v>
      </c>
      <c r="F23" s="110" t="s">
        <v>89</v>
      </c>
      <c r="G23" s="110" t="s">
        <v>89</v>
      </c>
      <c r="H23" s="110" t="s">
        <v>89</v>
      </c>
      <c r="I23" s="110" t="s">
        <v>89</v>
      </c>
      <c r="J23" s="30">
        <f t="shared" si="0"/>
        <v>0.27895662889026046</v>
      </c>
      <c r="K23" s="30">
        <f t="shared" si="1"/>
        <v>97.816650635537513</v>
      </c>
      <c r="L23" s="26"/>
      <c r="M23" s="34"/>
      <c r="N23" s="34"/>
      <c r="O23" s="34"/>
      <c r="P23" s="34"/>
      <c r="Q23" s="34"/>
    </row>
    <row r="24" spans="2:17" ht="12.75" customHeight="1" outlineLevel="1" x14ac:dyDescent="0.2">
      <c r="B24" s="113" t="s">
        <v>6</v>
      </c>
      <c r="C24" s="21">
        <f>19009800</f>
        <v>19009800</v>
      </c>
      <c r="D24" s="21">
        <f>19063800</f>
        <v>19063800</v>
      </c>
      <c r="E24" s="110" t="s">
        <v>89</v>
      </c>
      <c r="F24" s="110" t="s">
        <v>89</v>
      </c>
      <c r="G24" s="110" t="s">
        <v>89</v>
      </c>
      <c r="H24" s="110" t="s">
        <v>89</v>
      </c>
      <c r="I24" s="110" t="s">
        <v>89</v>
      </c>
      <c r="J24" s="30">
        <f t="shared" si="0"/>
        <v>7.7360864253980699E-2</v>
      </c>
      <c r="K24" s="30">
        <f t="shared" si="1"/>
        <v>100.28406400909005</v>
      </c>
      <c r="L24" s="26"/>
      <c r="M24" s="34"/>
      <c r="N24" s="34"/>
      <c r="O24" s="34"/>
      <c r="P24" s="34"/>
      <c r="Q24" s="34"/>
    </row>
    <row r="25" spans="2:17" ht="67.5" outlineLevel="1" x14ac:dyDescent="0.2">
      <c r="B25" s="103" t="s">
        <v>80</v>
      </c>
      <c r="C25" s="21">
        <f>0</f>
        <v>0</v>
      </c>
      <c r="D25" s="21">
        <f>0</f>
        <v>0</v>
      </c>
      <c r="E25" s="110" t="s">
        <v>89</v>
      </c>
      <c r="F25" s="110" t="s">
        <v>89</v>
      </c>
      <c r="G25" s="110" t="s">
        <v>89</v>
      </c>
      <c r="H25" s="110" t="s">
        <v>89</v>
      </c>
      <c r="I25" s="110" t="s">
        <v>89</v>
      </c>
      <c r="J25" s="30">
        <f t="shared" si="0"/>
        <v>0</v>
      </c>
      <c r="K25" s="30" t="str">
        <f t="shared" si="1"/>
        <v/>
      </c>
      <c r="L25" s="26"/>
      <c r="M25" s="34"/>
      <c r="N25" s="34"/>
      <c r="O25" s="34"/>
      <c r="P25" s="34"/>
      <c r="Q25" s="34"/>
    </row>
    <row r="26" spans="2:17" ht="12.75" customHeight="1" outlineLevel="1" x14ac:dyDescent="0.2">
      <c r="B26" s="113" t="s">
        <v>81</v>
      </c>
      <c r="C26" s="21">
        <f>0</f>
        <v>0</v>
      </c>
      <c r="D26" s="21">
        <f>0</f>
        <v>0</v>
      </c>
      <c r="E26" s="110" t="s">
        <v>89</v>
      </c>
      <c r="F26" s="110" t="s">
        <v>89</v>
      </c>
      <c r="G26" s="110" t="s">
        <v>89</v>
      </c>
      <c r="H26" s="110" t="s">
        <v>89</v>
      </c>
      <c r="I26" s="110" t="s">
        <v>89</v>
      </c>
      <c r="J26" s="30">
        <f t="shared" si="0"/>
        <v>0</v>
      </c>
      <c r="K26" s="30" t="str">
        <f t="shared" si="1"/>
        <v/>
      </c>
      <c r="L26" s="26"/>
      <c r="M26" s="34"/>
      <c r="N26" s="34"/>
      <c r="O26" s="34"/>
      <c r="P26" s="34"/>
      <c r="Q26" s="34"/>
    </row>
    <row r="27" spans="2:17" ht="45" outlineLevel="1" x14ac:dyDescent="0.2">
      <c r="B27" s="114" t="s">
        <v>79</v>
      </c>
      <c r="C27" s="67">
        <f>91632163</f>
        <v>91632163</v>
      </c>
      <c r="D27" s="67">
        <f>63351019.82</f>
        <v>63351019.82</v>
      </c>
      <c r="E27" s="110" t="s">
        <v>89</v>
      </c>
      <c r="F27" s="110" t="s">
        <v>89</v>
      </c>
      <c r="G27" s="110" t="s">
        <v>89</v>
      </c>
      <c r="H27" s="110" t="s">
        <v>89</v>
      </c>
      <c r="I27" s="110" t="s">
        <v>89</v>
      </c>
      <c r="J27" s="68">
        <f t="shared" si="0"/>
        <v>0.2570783183125222</v>
      </c>
      <c r="K27" s="68">
        <f t="shared" si="1"/>
        <v>69.136226567084307</v>
      </c>
      <c r="L27" s="26"/>
      <c r="M27" s="34"/>
      <c r="N27" s="34"/>
      <c r="O27" s="34"/>
      <c r="P27" s="34"/>
      <c r="Q27" s="34"/>
    </row>
    <row r="28" spans="2:17" ht="12.75" customHeight="1" outlineLevel="1" x14ac:dyDescent="0.2">
      <c r="B28" s="113" t="s">
        <v>6</v>
      </c>
      <c r="C28" s="21">
        <f>91358719</f>
        <v>91358719</v>
      </c>
      <c r="D28" s="21">
        <f>63094884.85</f>
        <v>63094884.850000001</v>
      </c>
      <c r="E28" s="110" t="s">
        <v>89</v>
      </c>
      <c r="F28" s="110" t="s">
        <v>89</v>
      </c>
      <c r="G28" s="110" t="s">
        <v>89</v>
      </c>
      <c r="H28" s="110" t="s">
        <v>89</v>
      </c>
      <c r="I28" s="110" t="s">
        <v>89</v>
      </c>
      <c r="J28" s="30">
        <f t="shared" si="0"/>
        <v>0.25603892308990828</v>
      </c>
      <c r="K28" s="30">
        <f t="shared" si="1"/>
        <v>69.062795035468923</v>
      </c>
      <c r="L28" s="26"/>
      <c r="M28" s="34"/>
      <c r="N28" s="34"/>
      <c r="O28" s="34"/>
      <c r="P28" s="34"/>
      <c r="Q28" s="34"/>
    </row>
    <row r="29" spans="2:17" ht="22.5" outlineLevel="1" x14ac:dyDescent="0.2">
      <c r="B29" s="114" t="s">
        <v>99</v>
      </c>
      <c r="C29" s="21">
        <f>34674697.1</f>
        <v>34674697.100000001</v>
      </c>
      <c r="D29" s="21">
        <f>31996135.2</f>
        <v>31996135.199999999</v>
      </c>
      <c r="E29" s="110" t="s">
        <v>89</v>
      </c>
      <c r="F29" s="110" t="s">
        <v>89</v>
      </c>
      <c r="G29" s="110" t="s">
        <v>89</v>
      </c>
      <c r="H29" s="110" t="s">
        <v>89</v>
      </c>
      <c r="I29" s="110" t="s">
        <v>89</v>
      </c>
      <c r="J29" s="30">
        <f t="shared" si="0"/>
        <v>0.1298402559751578</v>
      </c>
      <c r="K29" s="30">
        <f t="shared" si="1"/>
        <v>92.275168569533079</v>
      </c>
      <c r="L29" s="26"/>
      <c r="M29" s="34"/>
      <c r="N29" s="34"/>
      <c r="O29" s="34"/>
      <c r="P29" s="34"/>
      <c r="Q29" s="34"/>
    </row>
    <row r="30" spans="2:17" ht="12.75" customHeight="1" outlineLevel="1" x14ac:dyDescent="0.2">
      <c r="B30" s="113" t="s">
        <v>6</v>
      </c>
      <c r="C30" s="21">
        <f>0</f>
        <v>0</v>
      </c>
      <c r="D30" s="21">
        <f>0</f>
        <v>0</v>
      </c>
      <c r="E30" s="110" t="s">
        <v>89</v>
      </c>
      <c r="F30" s="110" t="s">
        <v>89</v>
      </c>
      <c r="G30" s="110" t="s">
        <v>89</v>
      </c>
      <c r="H30" s="110" t="s">
        <v>89</v>
      </c>
      <c r="I30" s="110" t="s">
        <v>89</v>
      </c>
      <c r="J30" s="30">
        <f t="shared" si="0"/>
        <v>0</v>
      </c>
      <c r="K30" s="30" t="str">
        <f t="shared" si="1"/>
        <v/>
      </c>
      <c r="L30" s="26"/>
      <c r="M30" s="34"/>
      <c r="N30" s="34"/>
      <c r="O30" s="34"/>
      <c r="P30" s="34"/>
      <c r="Q30" s="34"/>
    </row>
    <row r="31" spans="2:17" ht="13.5" customHeight="1" outlineLevel="1" x14ac:dyDescent="0.2">
      <c r="B31" s="102" t="s">
        <v>54</v>
      </c>
      <c r="C31" s="55">
        <f>946091905.89</f>
        <v>946091905.88999999</v>
      </c>
      <c r="D31" s="55">
        <f>810685913.2</f>
        <v>810685913.20000005</v>
      </c>
      <c r="E31" s="94" t="s">
        <v>89</v>
      </c>
      <c r="F31" s="94" t="s">
        <v>89</v>
      </c>
      <c r="G31" s="94" t="s">
        <v>89</v>
      </c>
      <c r="H31" s="94" t="s">
        <v>89</v>
      </c>
      <c r="I31" s="94" t="s">
        <v>89</v>
      </c>
      <c r="J31" s="56">
        <f t="shared" si="0"/>
        <v>3.2897618986602661</v>
      </c>
      <c r="K31" s="56">
        <f t="shared" si="1"/>
        <v>85.687860571788534</v>
      </c>
      <c r="L31" s="26"/>
      <c r="M31" s="34"/>
      <c r="N31" s="34"/>
      <c r="O31" s="34"/>
      <c r="P31" s="34"/>
      <c r="Q31" s="34"/>
    </row>
    <row r="32" spans="2:17" ht="12.75" customHeight="1" outlineLevel="1" x14ac:dyDescent="0.2">
      <c r="B32" s="104" t="s">
        <v>55</v>
      </c>
      <c r="C32" s="20">
        <f>451397552</f>
        <v>451397552</v>
      </c>
      <c r="D32" s="20">
        <f>374113720.48</f>
        <v>374113720.48000002</v>
      </c>
      <c r="E32" s="110" t="s">
        <v>89</v>
      </c>
      <c r="F32" s="110" t="s">
        <v>89</v>
      </c>
      <c r="G32" s="110" t="s">
        <v>89</v>
      </c>
      <c r="H32" s="110" t="s">
        <v>89</v>
      </c>
      <c r="I32" s="110" t="s">
        <v>89</v>
      </c>
      <c r="J32" s="30">
        <f t="shared" si="0"/>
        <v>1.518152768367532</v>
      </c>
      <c r="K32" s="30">
        <f t="shared" si="1"/>
        <v>82.878987451841567</v>
      </c>
      <c r="L32" s="26"/>
      <c r="M32" s="34"/>
      <c r="N32" s="34"/>
      <c r="O32" s="34"/>
      <c r="P32" s="34"/>
      <c r="Q32" s="34"/>
    </row>
    <row r="33" spans="1:26" ht="14.25" customHeight="1" outlineLevel="1" x14ac:dyDescent="0.2">
      <c r="B33" s="102" t="s">
        <v>68</v>
      </c>
      <c r="C33" s="55">
        <f>3794929978.67</f>
        <v>3794929978.6700001</v>
      </c>
      <c r="D33" s="55">
        <f>3689194616.36</f>
        <v>3689194616.3600001</v>
      </c>
      <c r="E33" s="94" t="s">
        <v>89</v>
      </c>
      <c r="F33" s="94" t="s">
        <v>89</v>
      </c>
      <c r="G33" s="94" t="s">
        <v>89</v>
      </c>
      <c r="H33" s="94" t="s">
        <v>89</v>
      </c>
      <c r="I33" s="94" t="s">
        <v>89</v>
      </c>
      <c r="J33" s="59">
        <f t="shared" si="0"/>
        <v>14.970744758271822</v>
      </c>
      <c r="K33" s="59">
        <f t="shared" si="1"/>
        <v>97.213773036543429</v>
      </c>
      <c r="L33" s="26"/>
      <c r="M33" s="34"/>
      <c r="N33" s="34"/>
      <c r="O33" s="34"/>
      <c r="P33" s="34"/>
      <c r="Q33" s="34"/>
    </row>
    <row r="34" spans="1:26" ht="12.75" customHeight="1" outlineLevel="1" x14ac:dyDescent="0.2">
      <c r="B34" s="104" t="s">
        <v>69</v>
      </c>
      <c r="C34" s="20">
        <f>2198806087.88</f>
        <v>2198806087.8800001</v>
      </c>
      <c r="D34" s="20">
        <f>2153307263.92</f>
        <v>2153307263.9200001</v>
      </c>
      <c r="E34" s="110" t="s">
        <v>89</v>
      </c>
      <c r="F34" s="110" t="s">
        <v>89</v>
      </c>
      <c r="G34" s="110" t="s">
        <v>89</v>
      </c>
      <c r="H34" s="110" t="s">
        <v>89</v>
      </c>
      <c r="I34" s="110" t="s">
        <v>89</v>
      </c>
      <c r="J34" s="30">
        <f t="shared" si="0"/>
        <v>8.7381167941976781</v>
      </c>
      <c r="K34" s="30">
        <f t="shared" si="1"/>
        <v>97.930748681714434</v>
      </c>
      <c r="L34" s="26"/>
      <c r="M34" s="34"/>
      <c r="N34" s="34"/>
      <c r="O34" s="34"/>
      <c r="P34" s="34"/>
      <c r="Q34" s="34"/>
    </row>
    <row r="35" spans="1:26" s="5" customFormat="1" ht="27" customHeight="1" x14ac:dyDescent="0.2">
      <c r="B35" s="96" t="s">
        <v>44</v>
      </c>
      <c r="C35" s="22">
        <f>C36+C37+C38+C39</f>
        <v>4256959924</v>
      </c>
      <c r="D35" s="22">
        <f>D36+D37+D38+D39</f>
        <v>4256955141</v>
      </c>
      <c r="E35" s="94" t="s">
        <v>89</v>
      </c>
      <c r="F35" s="94" t="s">
        <v>89</v>
      </c>
      <c r="G35" s="94" t="s">
        <v>89</v>
      </c>
      <c r="H35" s="94" t="s">
        <v>89</v>
      </c>
      <c r="I35" s="94" t="s">
        <v>89</v>
      </c>
      <c r="J35" s="29">
        <f t="shared" si="0"/>
        <v>17.27471589075558</v>
      </c>
      <c r="K35" s="29">
        <f t="shared" si="1"/>
        <v>99.999887642822927</v>
      </c>
      <c r="L35" s="27"/>
      <c r="M35" s="48"/>
      <c r="N35" s="48"/>
      <c r="O35" s="48"/>
      <c r="P35" s="48"/>
      <c r="Q35" s="48"/>
    </row>
    <row r="36" spans="1:26" ht="12.75" customHeight="1" outlineLevel="1" x14ac:dyDescent="0.2">
      <c r="B36" s="60" t="s">
        <v>30</v>
      </c>
      <c r="C36" s="21">
        <f>694898094</f>
        <v>694898094</v>
      </c>
      <c r="D36" s="21">
        <f>694893311</f>
        <v>694893311</v>
      </c>
      <c r="E36" s="110" t="s">
        <v>89</v>
      </c>
      <c r="F36" s="110" t="s">
        <v>89</v>
      </c>
      <c r="G36" s="110" t="s">
        <v>89</v>
      </c>
      <c r="H36" s="110" t="s">
        <v>89</v>
      </c>
      <c r="I36" s="110" t="s">
        <v>89</v>
      </c>
      <c r="J36" s="30">
        <f t="shared" si="0"/>
        <v>2.8198757384818447</v>
      </c>
      <c r="K36" s="30">
        <f t="shared" si="1"/>
        <v>99.999311697637211</v>
      </c>
      <c r="L36" s="27"/>
      <c r="M36" s="34"/>
      <c r="N36" s="34"/>
      <c r="O36" s="34"/>
      <c r="P36" s="34"/>
      <c r="Q36" s="34"/>
    </row>
    <row r="37" spans="1:26" ht="12.75" customHeight="1" outlineLevel="1" x14ac:dyDescent="0.2">
      <c r="B37" s="60" t="s">
        <v>41</v>
      </c>
      <c r="C37" s="21">
        <f>884998923</f>
        <v>884998923</v>
      </c>
      <c r="D37" s="21">
        <f>884998923</f>
        <v>884998923</v>
      </c>
      <c r="E37" s="110" t="s">
        <v>89</v>
      </c>
      <c r="F37" s="110" t="s">
        <v>89</v>
      </c>
      <c r="G37" s="110" t="s">
        <v>89</v>
      </c>
      <c r="H37" s="110" t="s">
        <v>89</v>
      </c>
      <c r="I37" s="110" t="s">
        <v>89</v>
      </c>
      <c r="J37" s="30">
        <f t="shared" si="0"/>
        <v>3.5913239515270887</v>
      </c>
      <c r="K37" s="30">
        <f t="shared" si="1"/>
        <v>100</v>
      </c>
      <c r="L37" s="27"/>
      <c r="M37" s="34"/>
      <c r="N37" s="34"/>
      <c r="O37" s="34"/>
      <c r="P37" s="34"/>
      <c r="Q37" s="34"/>
    </row>
    <row r="38" spans="1:26" ht="12.75" customHeight="1" outlineLevel="1" x14ac:dyDescent="0.2">
      <c r="B38" s="60" t="s">
        <v>31</v>
      </c>
      <c r="C38" s="21">
        <f>2319661345</f>
        <v>2319661345</v>
      </c>
      <c r="D38" s="21">
        <f>2319661345</f>
        <v>2319661345</v>
      </c>
      <c r="E38" s="110" t="s">
        <v>89</v>
      </c>
      <c r="F38" s="110" t="s">
        <v>89</v>
      </c>
      <c r="G38" s="110" t="s">
        <v>89</v>
      </c>
      <c r="H38" s="110" t="s">
        <v>89</v>
      </c>
      <c r="I38" s="110" t="s">
        <v>89</v>
      </c>
      <c r="J38" s="30">
        <f t="shared" si="0"/>
        <v>9.4131813398037796</v>
      </c>
      <c r="K38" s="30">
        <f t="shared" si="1"/>
        <v>100</v>
      </c>
      <c r="L38" s="27"/>
      <c r="M38" s="34"/>
      <c r="N38" s="34"/>
      <c r="O38" s="34"/>
      <c r="P38" s="34"/>
      <c r="Q38" s="34"/>
    </row>
    <row r="39" spans="1:26" s="5" customFormat="1" ht="12.75" customHeight="1" outlineLevel="1" x14ac:dyDescent="0.2">
      <c r="B39" s="60" t="s">
        <v>29</v>
      </c>
      <c r="C39" s="21">
        <f>357401562</f>
        <v>357401562</v>
      </c>
      <c r="D39" s="21">
        <f>357401562</f>
        <v>357401562</v>
      </c>
      <c r="E39" s="110" t="s">
        <v>89</v>
      </c>
      <c r="F39" s="110" t="s">
        <v>89</v>
      </c>
      <c r="G39" s="110" t="s">
        <v>89</v>
      </c>
      <c r="H39" s="110" t="s">
        <v>89</v>
      </c>
      <c r="I39" s="110" t="s">
        <v>89</v>
      </c>
      <c r="J39" s="30">
        <f t="shared" si="0"/>
        <v>1.450334860942869</v>
      </c>
      <c r="K39" s="30">
        <f t="shared" si="1"/>
        <v>100</v>
      </c>
      <c r="L39" s="27"/>
      <c r="M39" s="48"/>
      <c r="N39" s="48"/>
      <c r="O39" s="48"/>
      <c r="P39" s="48"/>
      <c r="Q39" s="48"/>
    </row>
    <row r="40" spans="1:26" s="5" customFormat="1" x14ac:dyDescent="0.2">
      <c r="B40" s="98" t="s">
        <v>96</v>
      </c>
      <c r="C40" s="55">
        <f>+C5</f>
        <v>24803454668.150002</v>
      </c>
      <c r="D40" s="55">
        <f>+D5</f>
        <v>24642692637.73</v>
      </c>
      <c r="E40" s="94" t="s">
        <v>89</v>
      </c>
      <c r="F40" s="94" t="s">
        <v>89</v>
      </c>
      <c r="G40" s="94" t="s">
        <v>89</v>
      </c>
      <c r="H40" s="94" t="s">
        <v>89</v>
      </c>
      <c r="I40" s="94" t="s">
        <v>89</v>
      </c>
      <c r="J40" s="59">
        <f>IF($D$5=0,"",100*$D40/$D$40)</f>
        <v>100</v>
      </c>
      <c r="K40" s="91">
        <f t="shared" si="1"/>
        <v>99.351856293524975</v>
      </c>
      <c r="L40" s="93"/>
      <c r="M40" s="48"/>
      <c r="N40" s="48"/>
      <c r="O40" s="48"/>
      <c r="P40" s="48"/>
      <c r="Q40" s="48"/>
    </row>
    <row r="41" spans="1:26" s="5" customFormat="1" x14ac:dyDescent="0.2">
      <c r="B41" s="99" t="s">
        <v>57</v>
      </c>
      <c r="C41" s="21">
        <f>3468833218.89</f>
        <v>3468833218.8899999</v>
      </c>
      <c r="D41" s="21">
        <f>3200463478.31</f>
        <v>3200463478.3099999</v>
      </c>
      <c r="E41" s="110" t="s">
        <v>89</v>
      </c>
      <c r="F41" s="110" t="s">
        <v>89</v>
      </c>
      <c r="G41" s="110" t="s">
        <v>89</v>
      </c>
      <c r="H41" s="110" t="s">
        <v>89</v>
      </c>
      <c r="I41" s="110" t="s">
        <v>89</v>
      </c>
      <c r="J41" s="30">
        <f>IF($D$5=0,"",100*$D41/$D$40)</f>
        <v>12.987474726726193</v>
      </c>
      <c r="K41" s="92">
        <f t="shared" si="1"/>
        <v>92.26340029498806</v>
      </c>
      <c r="L41" s="93"/>
      <c r="M41" s="48"/>
      <c r="N41" s="48"/>
      <c r="O41" s="48"/>
      <c r="P41" s="48"/>
      <c r="Q41" s="48"/>
    </row>
    <row r="42" spans="1:26" s="5" customFormat="1" x14ac:dyDescent="0.2">
      <c r="A42" s="2"/>
      <c r="B42" s="99" t="s">
        <v>58</v>
      </c>
      <c r="C42" s="21">
        <f>C40-C41</f>
        <v>21334621449.260002</v>
      </c>
      <c r="D42" s="21">
        <f>D40-D41</f>
        <v>21442229159.419998</v>
      </c>
      <c r="E42" s="110" t="s">
        <v>89</v>
      </c>
      <c r="F42" s="110" t="s">
        <v>89</v>
      </c>
      <c r="G42" s="110" t="s">
        <v>89</v>
      </c>
      <c r="H42" s="110" t="s">
        <v>89</v>
      </c>
      <c r="I42" s="110" t="s">
        <v>89</v>
      </c>
      <c r="J42" s="30">
        <f>IF($D$5=0,"",100*$D42/$D$40)</f>
        <v>87.012525273273795</v>
      </c>
      <c r="K42" s="92">
        <f t="shared" si="1"/>
        <v>100.50438068665018</v>
      </c>
      <c r="L42" s="93"/>
      <c r="M42" s="49"/>
      <c r="N42" s="49"/>
      <c r="O42" s="50"/>
      <c r="P42" s="50"/>
      <c r="Q42" s="19"/>
    </row>
    <row r="43" spans="1:26" s="5" customFormat="1" x14ac:dyDescent="0.2">
      <c r="A43" s="2"/>
      <c r="B43" s="119" t="s">
        <v>100</v>
      </c>
      <c r="C43" s="87"/>
      <c r="D43" s="87"/>
      <c r="E43" s="118"/>
      <c r="F43" s="118"/>
      <c r="G43" s="118"/>
      <c r="H43" s="118"/>
      <c r="I43" s="118"/>
      <c r="J43" s="58"/>
      <c r="K43" s="58"/>
      <c r="L43" s="58"/>
      <c r="M43" s="49"/>
      <c r="N43" s="49"/>
      <c r="O43" s="50"/>
      <c r="P43" s="50"/>
      <c r="Q43" s="19"/>
    </row>
    <row r="44" spans="1:26" ht="18" customHeight="1" x14ac:dyDescent="0.2">
      <c r="B44" s="100" t="str">
        <f>CONCATENATE("Informacja z wykonania budżetów województw za ",$D$100," ",$C$101," rok    ",$C$103,"")</f>
        <v xml:space="preserve">Informacja z wykonania budżetów województw za IV Kwartały 2022 rok    </v>
      </c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</row>
    <row r="45" spans="1:26" s="5" customFormat="1" ht="10.5" customHeight="1" x14ac:dyDescent="0.2">
      <c r="B45" s="6"/>
      <c r="C45" s="7"/>
      <c r="D45" s="8"/>
      <c r="E45" s="8"/>
      <c r="F45" s="4"/>
      <c r="G45" s="4"/>
      <c r="H45" s="4"/>
      <c r="I45" s="4"/>
      <c r="J45" s="4"/>
      <c r="K45" s="9"/>
      <c r="L45" s="9"/>
      <c r="M45" s="3"/>
    </row>
    <row r="46" spans="1:26" ht="29.25" customHeight="1" x14ac:dyDescent="0.2">
      <c r="B46" s="120" t="s">
        <v>0</v>
      </c>
      <c r="C46" s="121" t="s">
        <v>37</v>
      </c>
      <c r="D46" s="121" t="s">
        <v>39</v>
      </c>
      <c r="E46" s="121" t="s">
        <v>38</v>
      </c>
      <c r="F46" s="121" t="s">
        <v>12</v>
      </c>
      <c r="G46" s="121"/>
      <c r="H46" s="121"/>
      <c r="I46" s="133" t="s">
        <v>70</v>
      </c>
      <c r="J46" s="121" t="s">
        <v>2</v>
      </c>
      <c r="K46" s="138" t="s">
        <v>18</v>
      </c>
      <c r="M46" s="10"/>
      <c r="N46" s="49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8" customHeight="1" x14ac:dyDescent="0.2">
      <c r="B47" s="120"/>
      <c r="C47" s="121"/>
      <c r="D47" s="121"/>
      <c r="E47" s="123"/>
      <c r="F47" s="122" t="s">
        <v>40</v>
      </c>
      <c r="G47" s="141" t="s">
        <v>25</v>
      </c>
      <c r="H47" s="123"/>
      <c r="I47" s="134"/>
      <c r="J47" s="121"/>
      <c r="K47" s="138"/>
      <c r="L47" s="11"/>
      <c r="M47" s="12"/>
      <c r="N47" s="49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55.5" customHeight="1" x14ac:dyDescent="0.2">
      <c r="B48" s="120"/>
      <c r="C48" s="121"/>
      <c r="D48" s="121"/>
      <c r="E48" s="123"/>
      <c r="F48" s="123"/>
      <c r="G48" s="15" t="s">
        <v>35</v>
      </c>
      <c r="H48" s="15" t="s">
        <v>36</v>
      </c>
      <c r="I48" s="135"/>
      <c r="J48" s="121"/>
      <c r="K48" s="138"/>
      <c r="L48" s="11"/>
      <c r="M48" s="10"/>
      <c r="N48" s="49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2:26" ht="13.5" customHeight="1" x14ac:dyDescent="0.2">
      <c r="B49" s="120"/>
      <c r="C49" s="130" t="s">
        <v>61</v>
      </c>
      <c r="D49" s="131"/>
      <c r="E49" s="131"/>
      <c r="F49" s="131"/>
      <c r="G49" s="131"/>
      <c r="H49" s="131"/>
      <c r="I49" s="132"/>
      <c r="J49" s="137" t="s">
        <v>4</v>
      </c>
      <c r="K49" s="137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2:26" ht="11.25" customHeight="1" x14ac:dyDescent="0.2">
      <c r="B50" s="14">
        <v>1</v>
      </c>
      <c r="C50" s="16">
        <v>2</v>
      </c>
      <c r="D50" s="16">
        <v>3</v>
      </c>
      <c r="E50" s="16">
        <v>4</v>
      </c>
      <c r="F50" s="14">
        <v>5</v>
      </c>
      <c r="G50" s="14">
        <v>6</v>
      </c>
      <c r="H50" s="16">
        <v>7</v>
      </c>
      <c r="I50" s="16">
        <v>8</v>
      </c>
      <c r="J50" s="14">
        <v>9</v>
      </c>
      <c r="K50" s="16">
        <v>10</v>
      </c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2:26" ht="27" customHeight="1" x14ac:dyDescent="0.2">
      <c r="B51" s="95" t="s">
        <v>45</v>
      </c>
      <c r="C51" s="61">
        <f>25659948672.44</f>
        <v>25659948672.439999</v>
      </c>
      <c r="D51" s="72">
        <f>23780799102.46</f>
        <v>23780799102.459999</v>
      </c>
      <c r="E51" s="72">
        <f>23830248028.36</f>
        <v>23830248028.360001</v>
      </c>
      <c r="F51" s="61">
        <f>533512719.55</f>
        <v>533512719.55000001</v>
      </c>
      <c r="G51" s="61">
        <f>0</f>
        <v>0</v>
      </c>
      <c r="H51" s="61">
        <f>34749.12</f>
        <v>34749.120000000003</v>
      </c>
      <c r="I51" s="73">
        <f>221170724.05</f>
        <v>221170724.05000001</v>
      </c>
      <c r="J51" s="47">
        <f>IF($D$51=0,"",100*$D51/$D$51)</f>
        <v>100</v>
      </c>
      <c r="K51" s="47">
        <f>IF(C51=0,"",100*D51/C51)</f>
        <v>92.676721243802433</v>
      </c>
      <c r="L51" s="34"/>
      <c r="O51" s="88"/>
    </row>
    <row r="52" spans="2:26" x14ac:dyDescent="0.2">
      <c r="B52" s="96" t="s">
        <v>14</v>
      </c>
      <c r="C52" s="23">
        <f>8923433785.53</f>
        <v>8923433785.5300007</v>
      </c>
      <c r="D52" s="23">
        <f>7942050742.68</f>
        <v>7942050742.6800003</v>
      </c>
      <c r="E52" s="23">
        <f>7990351311.83</f>
        <v>7990351311.8299999</v>
      </c>
      <c r="F52" s="23">
        <f>87898180.62</f>
        <v>87898180.620000005</v>
      </c>
      <c r="G52" s="23">
        <f>0</f>
        <v>0</v>
      </c>
      <c r="H52" s="23">
        <f>4700.5</f>
        <v>4700.5</v>
      </c>
      <c r="I52" s="74">
        <f>180419578.02</f>
        <v>180419578.02000001</v>
      </c>
      <c r="J52" s="47">
        <f t="shared" ref="J52:J60" si="2">IF($D$51=0,"",100*$D52/$D$51)</f>
        <v>33.39690440368102</v>
      </c>
      <c r="K52" s="47">
        <f t="shared" ref="K52:K60" si="3">IF(C52=0,"",100*D52/C52)</f>
        <v>89.002181599180076</v>
      </c>
      <c r="L52" s="34"/>
      <c r="O52" s="81"/>
    </row>
    <row r="53" spans="2:26" ht="12.75" customHeight="1" outlineLevel="1" x14ac:dyDescent="0.2">
      <c r="B53" s="28" t="s">
        <v>13</v>
      </c>
      <c r="C53" s="20">
        <f>8383523940.53</f>
        <v>8383523940.5299997</v>
      </c>
      <c r="D53" s="20">
        <f>7409591492.84</f>
        <v>7409591492.8400002</v>
      </c>
      <c r="E53" s="20">
        <f>7457892061.99</f>
        <v>7457892061.9899998</v>
      </c>
      <c r="F53" s="20">
        <f>87898180.62</f>
        <v>87898180.620000005</v>
      </c>
      <c r="G53" s="20">
        <f>0</f>
        <v>0</v>
      </c>
      <c r="H53" s="20">
        <f>4700.5</f>
        <v>4700.5</v>
      </c>
      <c r="I53" s="75">
        <f>180419578.02</f>
        <v>180419578.02000001</v>
      </c>
      <c r="J53" s="47">
        <f t="shared" si="2"/>
        <v>31.15787430403681</v>
      </c>
      <c r="K53" s="47">
        <f t="shared" si="3"/>
        <v>88.382779668803224</v>
      </c>
      <c r="L53" s="34"/>
      <c r="O53" s="87"/>
    </row>
    <row r="54" spans="2:26" ht="27" customHeight="1" x14ac:dyDescent="0.2">
      <c r="B54" s="96" t="s">
        <v>46</v>
      </c>
      <c r="C54" s="23">
        <f t="shared" ref="C54:I54" si="4">C51-C52</f>
        <v>16736514886.909998</v>
      </c>
      <c r="D54" s="23">
        <f>D51-D52</f>
        <v>15838748359.779999</v>
      </c>
      <c r="E54" s="23">
        <f>E51-E52</f>
        <v>15839896716.530001</v>
      </c>
      <c r="F54" s="23">
        <f t="shared" si="4"/>
        <v>445614538.93000001</v>
      </c>
      <c r="G54" s="23">
        <f t="shared" si="4"/>
        <v>0</v>
      </c>
      <c r="H54" s="23">
        <f t="shared" si="4"/>
        <v>30048.620000000003</v>
      </c>
      <c r="I54" s="74">
        <f t="shared" si="4"/>
        <v>40751146.030000001</v>
      </c>
      <c r="J54" s="47">
        <f t="shared" si="2"/>
        <v>66.60309559631898</v>
      </c>
      <c r="K54" s="47">
        <f t="shared" si="3"/>
        <v>94.635881285941068</v>
      </c>
      <c r="L54" s="34"/>
      <c r="O54" s="81"/>
    </row>
    <row r="55" spans="2:26" ht="22.5" outlineLevel="1" x14ac:dyDescent="0.2">
      <c r="B55" s="28" t="s">
        <v>82</v>
      </c>
      <c r="C55" s="20">
        <f>4069714717.78</f>
        <v>4069714717.7800002</v>
      </c>
      <c r="D55" s="20">
        <f>3906466560.76999</f>
        <v>3906466560.76999</v>
      </c>
      <c r="E55" s="20">
        <f>3906481956.08999</f>
        <v>3906481956.0899901</v>
      </c>
      <c r="F55" s="20">
        <f>256516797.03</f>
        <v>256516797.03</v>
      </c>
      <c r="G55" s="20">
        <f>0</f>
        <v>0</v>
      </c>
      <c r="H55" s="20">
        <f>5815.93</f>
        <v>5815.93</v>
      </c>
      <c r="I55" s="75">
        <f>13540</f>
        <v>13540</v>
      </c>
      <c r="J55" s="47">
        <f t="shared" si="2"/>
        <v>16.426977680350056</v>
      </c>
      <c r="K55" s="47">
        <f t="shared" si="3"/>
        <v>95.988707604078428</v>
      </c>
      <c r="L55" s="34"/>
      <c r="O55" s="87"/>
    </row>
    <row r="56" spans="2:26" ht="12.75" customHeight="1" outlineLevel="1" x14ac:dyDescent="0.2">
      <c r="B56" s="60" t="s">
        <v>34</v>
      </c>
      <c r="C56" s="62">
        <f>6748958405.99</f>
        <v>6748958405.9899998</v>
      </c>
      <c r="D56" s="62">
        <f>6569325956.21</f>
        <v>6569325956.21</v>
      </c>
      <c r="E56" s="62">
        <f>6570516927.64</f>
        <v>6570516927.6400003</v>
      </c>
      <c r="F56" s="62">
        <f>6604176.81</f>
        <v>6604176.8099999996</v>
      </c>
      <c r="G56" s="62">
        <f>0</f>
        <v>0</v>
      </c>
      <c r="H56" s="62">
        <f>0</f>
        <v>0</v>
      </c>
      <c r="I56" s="76">
        <f>1611386.03</f>
        <v>1611386.03</v>
      </c>
      <c r="J56" s="47">
        <f t="shared" si="2"/>
        <v>27.624496249709445</v>
      </c>
      <c r="K56" s="47">
        <f t="shared" si="3"/>
        <v>97.338367804718317</v>
      </c>
      <c r="L56" s="34"/>
      <c r="O56" s="81"/>
    </row>
    <row r="57" spans="2:26" ht="12.75" customHeight="1" outlineLevel="1" x14ac:dyDescent="0.2">
      <c r="B57" s="60" t="s">
        <v>33</v>
      </c>
      <c r="C57" s="21">
        <f>266916526.08</f>
        <v>266916526.08000001</v>
      </c>
      <c r="D57" s="21">
        <f>253374969.22</f>
        <v>253374969.22</v>
      </c>
      <c r="E57" s="21">
        <f>253374969.22</f>
        <v>253374969.22</v>
      </c>
      <c r="F57" s="21">
        <f>11154794.79</f>
        <v>11154794.789999999</v>
      </c>
      <c r="G57" s="21">
        <f>0</f>
        <v>0</v>
      </c>
      <c r="H57" s="21">
        <f>0</f>
        <v>0</v>
      </c>
      <c r="I57" s="77">
        <f>0</f>
        <v>0</v>
      </c>
      <c r="J57" s="47">
        <f t="shared" si="2"/>
        <v>1.0654602821727286</v>
      </c>
      <c r="K57" s="47">
        <f t="shared" si="3"/>
        <v>94.92666974994971</v>
      </c>
      <c r="L57" s="34"/>
      <c r="O57" s="87"/>
    </row>
    <row r="58" spans="2:26" ht="22.5" customHeight="1" outlineLevel="1" x14ac:dyDescent="0.2">
      <c r="B58" s="60" t="s">
        <v>52</v>
      </c>
      <c r="C58" s="62">
        <f>21867078</f>
        <v>21867078</v>
      </c>
      <c r="D58" s="62">
        <f>18925651.85</f>
        <v>18925651.850000001</v>
      </c>
      <c r="E58" s="62">
        <f>18925651.85</f>
        <v>18925651.850000001</v>
      </c>
      <c r="F58" s="62">
        <f>0</f>
        <v>0</v>
      </c>
      <c r="G58" s="62">
        <f>0</f>
        <v>0</v>
      </c>
      <c r="H58" s="62">
        <f>0</f>
        <v>0</v>
      </c>
      <c r="I58" s="76">
        <f>0</f>
        <v>0</v>
      </c>
      <c r="J58" s="47">
        <f t="shared" si="2"/>
        <v>7.9583750606775208E-2</v>
      </c>
      <c r="K58" s="47">
        <f t="shared" si="3"/>
        <v>86.548609055128452</v>
      </c>
      <c r="L58" s="34"/>
      <c r="O58" s="81"/>
    </row>
    <row r="59" spans="2:26" ht="22.5" outlineLevel="1" x14ac:dyDescent="0.2">
      <c r="B59" s="60" t="s">
        <v>53</v>
      </c>
      <c r="C59" s="62">
        <f>176987142.8</f>
        <v>176987142.80000001</v>
      </c>
      <c r="D59" s="62">
        <f>160150420.77</f>
        <v>160150420.77000001</v>
      </c>
      <c r="E59" s="62">
        <f>160150420.77</f>
        <v>160150420.77000001</v>
      </c>
      <c r="F59" s="62">
        <f>2333837.47</f>
        <v>2333837.4700000002</v>
      </c>
      <c r="G59" s="62">
        <f>0</f>
        <v>0</v>
      </c>
      <c r="H59" s="62">
        <f>0</f>
        <v>0</v>
      </c>
      <c r="I59" s="69">
        <f>0</f>
        <v>0</v>
      </c>
      <c r="J59" s="47">
        <f t="shared" si="2"/>
        <v>0.67344423574661672</v>
      </c>
      <c r="K59" s="47">
        <f t="shared" si="3"/>
        <v>90.487036649308521</v>
      </c>
      <c r="L59" s="34"/>
      <c r="O59" s="81"/>
    </row>
    <row r="60" spans="2:26" ht="12.75" customHeight="1" outlineLevel="1" x14ac:dyDescent="0.2">
      <c r="B60" s="60" t="s">
        <v>32</v>
      </c>
      <c r="C60" s="21">
        <f t="shared" ref="C60:I60" si="5">C54-C55-C56-C57-C58-C59</f>
        <v>5452071016.2599974</v>
      </c>
      <c r="D60" s="21">
        <f>D54-D55-D56-D57-D58-D59</f>
        <v>4930504800.9600086</v>
      </c>
      <c r="E60" s="78">
        <f>E54-E55-E56-E57-E58-E59</f>
        <v>4930446790.9600086</v>
      </c>
      <c r="F60" s="78">
        <f t="shared" si="5"/>
        <v>169004932.83000001</v>
      </c>
      <c r="G60" s="78">
        <f t="shared" si="5"/>
        <v>0</v>
      </c>
      <c r="H60" s="78">
        <f t="shared" si="5"/>
        <v>24232.690000000002</v>
      </c>
      <c r="I60" s="79">
        <f t="shared" si="5"/>
        <v>39126220</v>
      </c>
      <c r="J60" s="80">
        <f t="shared" si="2"/>
        <v>20.733133397733358</v>
      </c>
      <c r="K60" s="47">
        <f t="shared" si="3"/>
        <v>90.433612956535327</v>
      </c>
      <c r="L60" s="34"/>
      <c r="O60" s="87"/>
    </row>
    <row r="61" spans="2:26" x14ac:dyDescent="0.2">
      <c r="B61" s="17" t="s">
        <v>15</v>
      </c>
      <c r="C61" s="115">
        <f>C5-C51</f>
        <v>-856494004.2899971</v>
      </c>
      <c r="D61" s="115">
        <f>D5-D51</f>
        <v>861893535.27000046</v>
      </c>
      <c r="E61" s="84"/>
      <c r="F61" s="85"/>
      <c r="G61" s="85"/>
      <c r="H61" s="85"/>
      <c r="I61" s="136"/>
      <c r="J61" s="136"/>
      <c r="K61" s="25"/>
      <c r="L61" s="25"/>
      <c r="M61" s="51"/>
    </row>
    <row r="62" spans="2:26" ht="38.25" x14ac:dyDescent="0.2">
      <c r="B62" s="97" t="s">
        <v>97</v>
      </c>
      <c r="C62" s="115">
        <f>+C42-C54</f>
        <v>4598106562.3500042</v>
      </c>
      <c r="D62" s="115">
        <f>+D42-D54</f>
        <v>5603480799.6399994</v>
      </c>
      <c r="E62" s="83"/>
      <c r="F62" s="82"/>
      <c r="G62" s="82"/>
      <c r="H62" s="82"/>
      <c r="I62" s="143"/>
      <c r="J62" s="144"/>
      <c r="K62" s="34"/>
      <c r="L62" s="52"/>
      <c r="M62" s="52"/>
    </row>
    <row r="63" spans="2:26" ht="13.5" customHeight="1" x14ac:dyDescent="0.2">
      <c r="B63" s="53"/>
      <c r="C63" s="54"/>
      <c r="D63" s="54"/>
      <c r="E63" s="54"/>
      <c r="F63" s="18"/>
      <c r="G63" s="18"/>
      <c r="H63" s="18"/>
      <c r="I63" s="18"/>
      <c r="J63" s="34"/>
      <c r="K63" s="34"/>
      <c r="L63" s="52"/>
      <c r="M63" s="52"/>
    </row>
    <row r="64" spans="2:26" ht="12" customHeight="1" x14ac:dyDescent="0.2">
      <c r="B64" s="116" t="s">
        <v>101</v>
      </c>
      <c r="C64" s="54"/>
      <c r="D64" s="54"/>
      <c r="E64" s="54"/>
      <c r="F64" s="18"/>
      <c r="G64" s="18"/>
      <c r="H64" s="18"/>
      <c r="I64" s="18"/>
      <c r="J64" s="34"/>
      <c r="K64" s="34"/>
      <c r="L64" s="52"/>
      <c r="M64" s="52"/>
    </row>
    <row r="65" spans="2:13" ht="27" customHeight="1" x14ac:dyDescent="0.2">
      <c r="B65" s="117" t="s">
        <v>71</v>
      </c>
      <c r="C65" s="115">
        <f>6154086751.17</f>
        <v>6154086751.1700001</v>
      </c>
      <c r="D65" s="115">
        <f>5462051597.22001</f>
        <v>5462051597.2200098</v>
      </c>
      <c r="E65" s="23">
        <f>5484088253.70001</f>
        <v>5484088253.7000103</v>
      </c>
      <c r="F65" s="23">
        <f>79473588.59</f>
        <v>79473588.590000004</v>
      </c>
      <c r="G65" s="23">
        <f>0</f>
        <v>0</v>
      </c>
      <c r="H65" s="23">
        <f>24074</f>
        <v>24074</v>
      </c>
      <c r="I65" s="86">
        <f>14694835.56</f>
        <v>14694835.560000001</v>
      </c>
      <c r="J65" s="32">
        <f>IF($D$65=0,"",100*$D65/$D$65)</f>
        <v>100</v>
      </c>
      <c r="K65" s="32">
        <f>IF(C65=0,"",100*D65/C65)</f>
        <v>88.754868399955157</v>
      </c>
      <c r="L65" s="52"/>
    </row>
    <row r="66" spans="2:13" ht="12.75" customHeight="1" x14ac:dyDescent="0.2">
      <c r="B66" s="101" t="s">
        <v>59</v>
      </c>
      <c r="C66" s="62">
        <f>3612240353.4</f>
        <v>3612240353.4000001</v>
      </c>
      <c r="D66" s="62">
        <f>3243927620.09</f>
        <v>3243927620.0900002</v>
      </c>
      <c r="E66" s="62">
        <f>3266053011.1</f>
        <v>3266053011.0999999</v>
      </c>
      <c r="F66" s="62">
        <f>26866847.05</f>
        <v>26866847.050000001</v>
      </c>
      <c r="G66" s="62">
        <f>0</f>
        <v>0</v>
      </c>
      <c r="H66" s="62">
        <f>0</f>
        <v>0</v>
      </c>
      <c r="I66" s="69">
        <f>14675505.53</f>
        <v>14675505.529999999</v>
      </c>
      <c r="J66" s="32">
        <f>IF($D$65=0,"",100*$D66/$D$65)</f>
        <v>59.390277853490872</v>
      </c>
      <c r="K66" s="32">
        <f>IF(C66=0,"",100*D66/C66)</f>
        <v>89.803758961849596</v>
      </c>
      <c r="L66" s="34"/>
    </row>
    <row r="67" spans="2:13" ht="12.75" customHeight="1" x14ac:dyDescent="0.2">
      <c r="B67" s="101" t="s">
        <v>60</v>
      </c>
      <c r="C67" s="62">
        <f t="shared" ref="C67:I67" si="6">C65-C66</f>
        <v>2541846397.77</v>
      </c>
      <c r="D67" s="62">
        <f t="shared" si="6"/>
        <v>2218123977.1300097</v>
      </c>
      <c r="E67" s="62">
        <f t="shared" si="6"/>
        <v>2218035242.6000104</v>
      </c>
      <c r="F67" s="62">
        <f t="shared" si="6"/>
        <v>52606741.540000007</v>
      </c>
      <c r="G67" s="62">
        <f t="shared" si="6"/>
        <v>0</v>
      </c>
      <c r="H67" s="62">
        <f t="shared" si="6"/>
        <v>24074</v>
      </c>
      <c r="I67" s="71">
        <f t="shared" si="6"/>
        <v>19330.030000001192</v>
      </c>
      <c r="J67" s="32">
        <f>IF($D$65=0,"",100*$D67/$D$65)</f>
        <v>40.609722146509128</v>
      </c>
      <c r="K67" s="32">
        <f>IF(C67=0,"",100*D67/C67)</f>
        <v>87.2642807636214</v>
      </c>
      <c r="L67" s="34"/>
    </row>
    <row r="68" spans="2:13" ht="18" customHeight="1" x14ac:dyDescent="0.2">
      <c r="B68" s="100" t="str">
        <f>CONCATENATE("Informacja z wykonania budżetów województw za ",$D$100," ",$C$101," rok    ",$C$103,"")</f>
        <v xml:space="preserve">Informacja z wykonania budżetów województw za IV Kwartały 2022 rok    </v>
      </c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</row>
    <row r="69" spans="2:13" ht="6" customHeight="1" x14ac:dyDescent="0.2"/>
    <row r="70" spans="2:13" x14ac:dyDescent="0.2">
      <c r="B70" s="37" t="s">
        <v>16</v>
      </c>
      <c r="C70" s="70" t="s">
        <v>17</v>
      </c>
      <c r="D70" s="70" t="s">
        <v>1</v>
      </c>
      <c r="E70" s="145" t="s">
        <v>89</v>
      </c>
      <c r="F70" s="146"/>
      <c r="G70" s="146"/>
      <c r="H70" s="146"/>
      <c r="I70" s="147"/>
      <c r="J70" s="16" t="s">
        <v>22</v>
      </c>
      <c r="K70" s="16" t="s">
        <v>23</v>
      </c>
    </row>
    <row r="71" spans="2:13" x14ac:dyDescent="0.2">
      <c r="B71" s="37"/>
      <c r="C71" s="122" t="s">
        <v>61</v>
      </c>
      <c r="D71" s="142"/>
      <c r="E71" s="148"/>
      <c r="F71" s="149"/>
      <c r="G71" s="149"/>
      <c r="H71" s="149"/>
      <c r="I71" s="150"/>
      <c r="J71" s="154" t="s">
        <v>4</v>
      </c>
      <c r="K71" s="155"/>
    </row>
    <row r="72" spans="2:13" x14ac:dyDescent="0.2">
      <c r="B72" s="35">
        <v>1</v>
      </c>
      <c r="C72" s="89">
        <v>2</v>
      </c>
      <c r="D72" s="89">
        <v>3</v>
      </c>
      <c r="E72" s="151"/>
      <c r="F72" s="152"/>
      <c r="G72" s="152"/>
      <c r="H72" s="152"/>
      <c r="I72" s="153"/>
      <c r="J72" s="36">
        <v>4</v>
      </c>
      <c r="K72" s="36">
        <v>5</v>
      </c>
    </row>
    <row r="73" spans="2:13" ht="27" customHeight="1" x14ac:dyDescent="0.2">
      <c r="B73" s="90" t="s">
        <v>47</v>
      </c>
      <c r="C73" s="39">
        <f>2478321725.61</f>
        <v>2478321725.6100001</v>
      </c>
      <c r="D73" s="39">
        <f>4431594659.34</f>
        <v>4431594659.3400002</v>
      </c>
      <c r="E73" s="108" t="s">
        <v>89</v>
      </c>
      <c r="F73" s="108" t="s">
        <v>89</v>
      </c>
      <c r="G73" s="108" t="s">
        <v>89</v>
      </c>
      <c r="H73" s="108" t="s">
        <v>89</v>
      </c>
      <c r="I73" s="108" t="s">
        <v>89</v>
      </c>
      <c r="J73" s="38">
        <f>IF($D$73=0,"",100*$D73/$D$73)</f>
        <v>100</v>
      </c>
      <c r="K73" s="31">
        <f t="shared" ref="K73:K86" si="7">IF(C73=0,"",100*D73/C73)</f>
        <v>178.81434091246697</v>
      </c>
    </row>
    <row r="74" spans="2:13" ht="23.25" customHeight="1" x14ac:dyDescent="0.2">
      <c r="B74" s="105" t="s">
        <v>72</v>
      </c>
      <c r="C74" s="40">
        <f>171399739</f>
        <v>171399739</v>
      </c>
      <c r="D74" s="40">
        <f>48000000</f>
        <v>48000000</v>
      </c>
      <c r="E74" s="109" t="s">
        <v>89</v>
      </c>
      <c r="F74" s="109" t="s">
        <v>89</v>
      </c>
      <c r="G74" s="109" t="s">
        <v>89</v>
      </c>
      <c r="H74" s="109" t="s">
        <v>89</v>
      </c>
      <c r="I74" s="109" t="s">
        <v>89</v>
      </c>
      <c r="J74" s="45">
        <f t="shared" ref="J74:J81" si="8">IF($D$73=0,"",100*$D74/$D$73)</f>
        <v>1.0831315517278981</v>
      </c>
      <c r="K74" s="46">
        <f t="shared" si="7"/>
        <v>28.004710088852587</v>
      </c>
    </row>
    <row r="75" spans="2:13" ht="22.5" x14ac:dyDescent="0.2">
      <c r="B75" s="106" t="s">
        <v>73</v>
      </c>
      <c r="C75" s="64">
        <f>0</f>
        <v>0</v>
      </c>
      <c r="D75" s="64">
        <f>0</f>
        <v>0</v>
      </c>
      <c r="E75" s="109" t="s">
        <v>89</v>
      </c>
      <c r="F75" s="109" t="s">
        <v>89</v>
      </c>
      <c r="G75" s="109" t="s">
        <v>89</v>
      </c>
      <c r="H75" s="109" t="s">
        <v>89</v>
      </c>
      <c r="I75" s="109" t="s">
        <v>89</v>
      </c>
      <c r="J75" s="65">
        <f t="shared" si="8"/>
        <v>0</v>
      </c>
      <c r="K75" s="66" t="str">
        <f t="shared" si="7"/>
        <v/>
      </c>
    </row>
    <row r="76" spans="2:13" ht="12.75" customHeight="1" x14ac:dyDescent="0.2">
      <c r="B76" s="63" t="s">
        <v>74</v>
      </c>
      <c r="C76" s="64">
        <f>40641318</f>
        <v>40641318</v>
      </c>
      <c r="D76" s="64">
        <f>30837054.84</f>
        <v>30837054.84</v>
      </c>
      <c r="E76" s="109" t="s">
        <v>89</v>
      </c>
      <c r="F76" s="109" t="s">
        <v>89</v>
      </c>
      <c r="G76" s="109" t="s">
        <v>89</v>
      </c>
      <c r="H76" s="109" t="s">
        <v>89</v>
      </c>
      <c r="I76" s="109" t="s">
        <v>89</v>
      </c>
      <c r="J76" s="65">
        <f t="shared" si="8"/>
        <v>0.69584556374098938</v>
      </c>
      <c r="K76" s="66">
        <f t="shared" si="7"/>
        <v>75.876119076650028</v>
      </c>
    </row>
    <row r="77" spans="2:13" ht="46.5" customHeight="1" x14ac:dyDescent="0.2">
      <c r="B77" s="63" t="s">
        <v>83</v>
      </c>
      <c r="C77" s="64">
        <f>97854664.06</f>
        <v>97854664.060000002</v>
      </c>
      <c r="D77" s="64">
        <f>791327447.72</f>
        <v>791327447.72000003</v>
      </c>
      <c r="E77" s="109" t="s">
        <v>89</v>
      </c>
      <c r="F77" s="109" t="s">
        <v>89</v>
      </c>
      <c r="G77" s="109" t="s">
        <v>89</v>
      </c>
      <c r="H77" s="109" t="s">
        <v>89</v>
      </c>
      <c r="I77" s="109" t="s">
        <v>89</v>
      </c>
      <c r="J77" s="65">
        <f t="shared" si="8"/>
        <v>17.856494299455015</v>
      </c>
      <c r="K77" s="66">
        <f t="shared" si="7"/>
        <v>808.67627038686089</v>
      </c>
    </row>
    <row r="78" spans="2:13" ht="35.25" customHeight="1" x14ac:dyDescent="0.2">
      <c r="B78" s="63" t="s">
        <v>84</v>
      </c>
      <c r="C78" s="64">
        <f>564516570.42</f>
        <v>564516570.41999996</v>
      </c>
      <c r="D78" s="64">
        <f>659686274</f>
        <v>659686274</v>
      </c>
      <c r="E78" s="109" t="s">
        <v>89</v>
      </c>
      <c r="F78" s="109" t="s">
        <v>89</v>
      </c>
      <c r="G78" s="109" t="s">
        <v>89</v>
      </c>
      <c r="H78" s="109" t="s">
        <v>89</v>
      </c>
      <c r="I78" s="109" t="s">
        <v>89</v>
      </c>
      <c r="J78" s="65">
        <f t="shared" si="8"/>
        <v>14.885979533566985</v>
      </c>
      <c r="K78" s="66">
        <f t="shared" si="7"/>
        <v>116.85862002406658</v>
      </c>
    </row>
    <row r="79" spans="2:13" ht="12.75" customHeight="1" x14ac:dyDescent="0.2">
      <c r="B79" s="63" t="s">
        <v>75</v>
      </c>
      <c r="C79" s="64">
        <f>0</f>
        <v>0</v>
      </c>
      <c r="D79" s="64">
        <f>0</f>
        <v>0</v>
      </c>
      <c r="E79" s="109" t="s">
        <v>89</v>
      </c>
      <c r="F79" s="109" t="s">
        <v>89</v>
      </c>
      <c r="G79" s="109" t="s">
        <v>89</v>
      </c>
      <c r="H79" s="109" t="s">
        <v>89</v>
      </c>
      <c r="I79" s="109" t="s">
        <v>89</v>
      </c>
      <c r="J79" s="65">
        <f t="shared" si="8"/>
        <v>0</v>
      </c>
      <c r="K79" s="66" t="str">
        <f t="shared" si="7"/>
        <v/>
      </c>
    </row>
    <row r="80" spans="2:13" ht="33.75" x14ac:dyDescent="0.2">
      <c r="B80" s="63" t="s">
        <v>78</v>
      </c>
      <c r="C80" s="64">
        <f>1148909434.13</f>
        <v>1148909434.1300001</v>
      </c>
      <c r="D80" s="64">
        <f>2746743882.78</f>
        <v>2746743882.7800002</v>
      </c>
      <c r="E80" s="109" t="s">
        <v>89</v>
      </c>
      <c r="F80" s="109" t="s">
        <v>89</v>
      </c>
      <c r="G80" s="109" t="s">
        <v>89</v>
      </c>
      <c r="H80" s="109" t="s">
        <v>89</v>
      </c>
      <c r="I80" s="109" t="s">
        <v>89</v>
      </c>
      <c r="J80" s="65">
        <f t="shared" si="8"/>
        <v>61.980936749054443</v>
      </c>
      <c r="K80" s="66">
        <f t="shared" si="7"/>
        <v>239.07401237939558</v>
      </c>
    </row>
    <row r="81" spans="2:11" ht="12.75" customHeight="1" x14ac:dyDescent="0.2">
      <c r="B81" s="63" t="s">
        <v>63</v>
      </c>
      <c r="C81" s="64">
        <f>455000000</f>
        <v>455000000</v>
      </c>
      <c r="D81" s="64">
        <f>155000000</f>
        <v>155000000</v>
      </c>
      <c r="E81" s="109" t="s">
        <v>89</v>
      </c>
      <c r="F81" s="109" t="s">
        <v>89</v>
      </c>
      <c r="G81" s="109" t="s">
        <v>89</v>
      </c>
      <c r="H81" s="109" t="s">
        <v>89</v>
      </c>
      <c r="I81" s="109" t="s">
        <v>89</v>
      </c>
      <c r="J81" s="65">
        <f t="shared" si="8"/>
        <v>3.4976123024546708</v>
      </c>
      <c r="K81" s="66">
        <f t="shared" si="7"/>
        <v>34.065934065934066</v>
      </c>
    </row>
    <row r="82" spans="2:11" ht="27" customHeight="1" x14ac:dyDescent="0.2">
      <c r="B82" s="90" t="s">
        <v>48</v>
      </c>
      <c r="C82" s="43">
        <f>1408804340.32</f>
        <v>1408804340.3199999</v>
      </c>
      <c r="D82" s="43">
        <f>1093302540.39</f>
        <v>1093302540.3900001</v>
      </c>
      <c r="E82" s="108" t="s">
        <v>89</v>
      </c>
      <c r="F82" s="108" t="s">
        <v>89</v>
      </c>
      <c r="G82" s="108" t="s">
        <v>89</v>
      </c>
      <c r="H82" s="108" t="s">
        <v>89</v>
      </c>
      <c r="I82" s="108" t="s">
        <v>89</v>
      </c>
      <c r="J82" s="38">
        <f>IF($D$82=0,"",100*$D82/$D$82)</f>
        <v>100</v>
      </c>
      <c r="K82" s="31">
        <f t="shared" si="7"/>
        <v>77.604995179221561</v>
      </c>
    </row>
    <row r="83" spans="2:11" ht="24.75" customHeight="1" x14ac:dyDescent="0.2">
      <c r="B83" s="105" t="s">
        <v>76</v>
      </c>
      <c r="C83" s="40">
        <f>710472832.32</f>
        <v>710472832.32000005</v>
      </c>
      <c r="D83" s="42">
        <f>701387290.08</f>
        <v>701387290.08000004</v>
      </c>
      <c r="E83" s="109" t="s">
        <v>89</v>
      </c>
      <c r="F83" s="109" t="s">
        <v>89</v>
      </c>
      <c r="G83" s="109" t="s">
        <v>89</v>
      </c>
      <c r="H83" s="109" t="s">
        <v>89</v>
      </c>
      <c r="I83" s="109" t="s">
        <v>89</v>
      </c>
      <c r="J83" s="45">
        <f>IF($D$82=0,"",100*$D83/$D$82)</f>
        <v>64.153083356945544</v>
      </c>
      <c r="K83" s="46">
        <f t="shared" si="7"/>
        <v>98.721197795793003</v>
      </c>
    </row>
    <row r="84" spans="2:11" ht="12.75" customHeight="1" x14ac:dyDescent="0.2">
      <c r="B84" s="63" t="s">
        <v>77</v>
      </c>
      <c r="C84" s="64">
        <f>2800000</f>
        <v>2800000</v>
      </c>
      <c r="D84" s="64">
        <f>2800000</f>
        <v>2800000</v>
      </c>
      <c r="E84" s="109" t="s">
        <v>89</v>
      </c>
      <c r="F84" s="109" t="s">
        <v>89</v>
      </c>
      <c r="G84" s="109" t="s">
        <v>89</v>
      </c>
      <c r="H84" s="109" t="s">
        <v>89</v>
      </c>
      <c r="I84" s="109" t="s">
        <v>89</v>
      </c>
      <c r="J84" s="65">
        <f>IF($D$82=0,"",100*$D84/$D$82)</f>
        <v>0.2561047739815176</v>
      </c>
      <c r="K84" s="66">
        <f t="shared" si="7"/>
        <v>100</v>
      </c>
    </row>
    <row r="85" spans="2:11" ht="12.75" customHeight="1" x14ac:dyDescent="0.2">
      <c r="B85" s="63" t="s">
        <v>85</v>
      </c>
      <c r="C85" s="64">
        <f>215877511</f>
        <v>215877511</v>
      </c>
      <c r="D85" s="64">
        <f>209461253.31</f>
        <v>209461253.31</v>
      </c>
      <c r="E85" s="109" t="s">
        <v>89</v>
      </c>
      <c r="F85" s="109" t="s">
        <v>89</v>
      </c>
      <c r="G85" s="109" t="s">
        <v>89</v>
      </c>
      <c r="H85" s="109" t="s">
        <v>89</v>
      </c>
      <c r="I85" s="109" t="s">
        <v>89</v>
      </c>
      <c r="J85" s="65">
        <f>IF($D$82=0,"",100*$D85/$D$82)</f>
        <v>19.158581048872485</v>
      </c>
      <c r="K85" s="66">
        <f t="shared" si="7"/>
        <v>97.02782487148464</v>
      </c>
    </row>
    <row r="86" spans="2:11" ht="12.75" customHeight="1" x14ac:dyDescent="0.2">
      <c r="B86" s="63" t="s">
        <v>24</v>
      </c>
      <c r="C86" s="64">
        <f>482453997</f>
        <v>482453997</v>
      </c>
      <c r="D86" s="64">
        <f>182453997</f>
        <v>182453997</v>
      </c>
      <c r="E86" s="109" t="s">
        <v>89</v>
      </c>
      <c r="F86" s="109" t="s">
        <v>89</v>
      </c>
      <c r="G86" s="109" t="s">
        <v>89</v>
      </c>
      <c r="H86" s="109" t="s">
        <v>89</v>
      </c>
      <c r="I86" s="109" t="s">
        <v>89</v>
      </c>
      <c r="J86" s="65">
        <f>IF($D$82=0,"",100*$D86/$D$82)</f>
        <v>16.688335594181961</v>
      </c>
      <c r="K86" s="66">
        <f t="shared" si="7"/>
        <v>37.817905569139683</v>
      </c>
    </row>
    <row r="88" spans="2:11" x14ac:dyDescent="0.2">
      <c r="B88" s="37" t="s">
        <v>16</v>
      </c>
      <c r="C88" s="70" t="s">
        <v>17</v>
      </c>
      <c r="D88" s="16" t="s">
        <v>1</v>
      </c>
    </row>
    <row r="89" spans="2:11" x14ac:dyDescent="0.2">
      <c r="B89" s="37"/>
      <c r="C89" s="122" t="s">
        <v>61</v>
      </c>
      <c r="D89" s="142"/>
    </row>
    <row r="90" spans="2:11" x14ac:dyDescent="0.2">
      <c r="B90" s="35">
        <v>1</v>
      </c>
      <c r="C90" s="89">
        <v>2</v>
      </c>
      <c r="D90" s="36">
        <v>3</v>
      </c>
    </row>
    <row r="91" spans="2:11" ht="33.75" x14ac:dyDescent="0.2">
      <c r="B91" s="44" t="s">
        <v>98</v>
      </c>
      <c r="C91" s="41">
        <f>1021926489.65</f>
        <v>1021926489.65</v>
      </c>
      <c r="D91" s="24">
        <f>120801779.14</f>
        <v>120801779.14</v>
      </c>
    </row>
    <row r="92" spans="2:11" ht="33.75" x14ac:dyDescent="0.2">
      <c r="B92" s="107" t="s">
        <v>64</v>
      </c>
      <c r="C92" s="64">
        <f>0</f>
        <v>0</v>
      </c>
      <c r="D92" s="57">
        <f>0</f>
        <v>0</v>
      </c>
    </row>
    <row r="93" spans="2:11" ht="12.75" customHeight="1" x14ac:dyDescent="0.2">
      <c r="B93" s="107" t="s">
        <v>65</v>
      </c>
      <c r="C93" s="64">
        <f>98489252</f>
        <v>98489252</v>
      </c>
      <c r="D93" s="57">
        <f>0</f>
        <v>0</v>
      </c>
    </row>
    <row r="94" spans="2:11" ht="22.5" x14ac:dyDescent="0.2">
      <c r="B94" s="107" t="s">
        <v>66</v>
      </c>
      <c r="C94" s="64">
        <f>0</f>
        <v>0</v>
      </c>
      <c r="D94" s="57">
        <f>0</f>
        <v>0</v>
      </c>
    </row>
    <row r="95" spans="2:11" ht="56.25" x14ac:dyDescent="0.2">
      <c r="B95" s="107" t="s">
        <v>86</v>
      </c>
      <c r="C95" s="64">
        <f>44643099</f>
        <v>44643099</v>
      </c>
      <c r="D95" s="57">
        <f>0</f>
        <v>0</v>
      </c>
    </row>
    <row r="96" spans="2:11" ht="81" customHeight="1" x14ac:dyDescent="0.2">
      <c r="B96" s="107" t="s">
        <v>67</v>
      </c>
      <c r="C96" s="64">
        <f>453972988.5</f>
        <v>453972988.5</v>
      </c>
      <c r="D96" s="57">
        <f>97430570.9</f>
        <v>97430570.900000006</v>
      </c>
    </row>
    <row r="97" spans="2:4" ht="151.5" customHeight="1" x14ac:dyDescent="0.2">
      <c r="B97" s="107" t="s">
        <v>87</v>
      </c>
      <c r="C97" s="64">
        <f>424821150.15</f>
        <v>424821150.14999998</v>
      </c>
      <c r="D97" s="57">
        <f>23371208.24</f>
        <v>23371208.239999998</v>
      </c>
    </row>
    <row r="98" spans="2:4" ht="23.25" customHeight="1" x14ac:dyDescent="0.2">
      <c r="B98" s="107" t="s">
        <v>88</v>
      </c>
      <c r="C98" s="64">
        <f>0</f>
        <v>0</v>
      </c>
      <c r="D98" s="57">
        <f>0</f>
        <v>0</v>
      </c>
    </row>
    <row r="100" spans="2:4" x14ac:dyDescent="0.2">
      <c r="B100" s="33" t="s">
        <v>49</v>
      </c>
      <c r="C100" s="33">
        <f>4</f>
        <v>4</v>
      </c>
      <c r="D100" s="33" t="str">
        <f>IF(C100=1,"I Kwartał",IF(C100=2,"II Kwartały",IF(C100=3,"III Kwartały",IF(C100=4,"IV Kwartały",IF(C100="M1","Styczeń",IF(C100="M11","Listopad",IF(C100="M12","Grudzień","-")))))))</f>
        <v>IV Kwartały</v>
      </c>
    </row>
    <row r="101" spans="2:4" x14ac:dyDescent="0.2">
      <c r="B101" s="33" t="s">
        <v>50</v>
      </c>
      <c r="C101" s="111">
        <f>2022</f>
        <v>2022</v>
      </c>
      <c r="D101" s="34"/>
    </row>
    <row r="102" spans="2:4" x14ac:dyDescent="0.2">
      <c r="B102" s="33" t="s">
        <v>51</v>
      </c>
      <c r="C102" s="139" t="str">
        <f>"Mar 23 2023 12:00AM"</f>
        <v>Mar 23 2023 12:00AM</v>
      </c>
      <c r="D102" s="140"/>
    </row>
    <row r="103" spans="2:4" hidden="1" x14ac:dyDescent="0.2">
      <c r="B103" s="33" t="s">
        <v>56</v>
      </c>
      <c r="C103" s="112" t="str">
        <f>""</f>
        <v/>
      </c>
      <c r="D103" s="34"/>
    </row>
  </sheetData>
  <mergeCells count="23">
    <mergeCell ref="C102:D102"/>
    <mergeCell ref="F46:H46"/>
    <mergeCell ref="G47:H47"/>
    <mergeCell ref="C71:D71"/>
    <mergeCell ref="J46:J48"/>
    <mergeCell ref="C89:D89"/>
    <mergeCell ref="I62:J62"/>
    <mergeCell ref="E70:I72"/>
    <mergeCell ref="J71:K71"/>
    <mergeCell ref="J3:L3"/>
    <mergeCell ref="C3:D3"/>
    <mergeCell ref="I46:I48"/>
    <mergeCell ref="C49:I49"/>
    <mergeCell ref="I61:J61"/>
    <mergeCell ref="D46:D48"/>
    <mergeCell ref="E46:E48"/>
    <mergeCell ref="J49:K49"/>
    <mergeCell ref="K46:K48"/>
    <mergeCell ref="B2:B3"/>
    <mergeCell ref="C46:C48"/>
    <mergeCell ref="B46:B49"/>
    <mergeCell ref="F47:F48"/>
    <mergeCell ref="E3:I4"/>
  </mergeCells>
  <phoneticPr fontId="0" type="noConversion"/>
  <pageMargins left="0.19685039370078741" right="0.19685039370078741" top="0.35433070866141736" bottom="0.39370078740157483" header="0.31496062992125984" footer="0.19685039370078741"/>
  <pageSetup paperSize="9" scale="85" orientation="landscape" r:id="rId1"/>
  <headerFooter alignWithMargins="0">
    <oddFooter>&amp;RStrona &amp;P z &amp;N</oddFooter>
  </headerFooter>
  <rowBreaks count="4" manualBreakCount="4">
    <brk id="34" max="16383" man="1"/>
    <brk id="43" max="16383" man="1"/>
    <brk id="67" max="16383" man="1"/>
    <brk id="8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doch_wyd</vt:lpstr>
    </vt:vector>
  </TitlesOfParts>
  <Company>Min. Fin.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2022-10-25T14:07:59Z</cp:lastPrinted>
  <dcterms:created xsi:type="dcterms:W3CDTF">2001-05-17T08:58:03Z</dcterms:created>
  <dcterms:modified xsi:type="dcterms:W3CDTF">2023-03-29T10:53:43Z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UxC4dwLulzfINJ8nQH+xvX5LNGipWa4BRSZhPgxsCvk7M1oCNyvPTX/IYTk7NheEi2D6He/Paz9ay8OzXVpSqA==</vt:lpwstr>
  </property>
  <property fmtid="{D5CDD505-2E9C-101B-9397-08002B2CF9AE}" pid="4" name="MFClassificationDate">
    <vt:lpwstr>2022-06-01T15:12:09.6306425+02:00</vt:lpwstr>
  </property>
  <property fmtid="{D5CDD505-2E9C-101B-9397-08002B2CF9AE}" pid="5" name="MFClassifiedBySID">
    <vt:lpwstr>UxC4dwLulzfINJ8nQH+xvX5LNGipWa4BRSZhPgxsCvm42mrIC/DSDv0ggS+FjUN/2v1BBotkLlY5aAiEhoi6uT6l/lYoTwrNwDVvKCDJdoy+W2nzAk+kqrZcOJSg0aUa</vt:lpwstr>
  </property>
  <property fmtid="{D5CDD505-2E9C-101B-9397-08002B2CF9AE}" pid="6" name="MFGRNItemId">
    <vt:lpwstr>GRN-8d66ded2-1cb5-4e67-9970-33e716a7ea2e</vt:lpwstr>
  </property>
  <property fmtid="{D5CDD505-2E9C-101B-9397-08002B2CF9AE}" pid="7" name="MFHash">
    <vt:lpwstr>9/jS5PLDII7DMwS9o4x/sZmJJ/kSI9X7awFsxSFXuVM=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