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KS\2018\REJESTR umów i zamówień do BIP w 2018\BIP w 2018\12. BIP stan na 31.12.2018\"/>
    </mc:Choice>
  </mc:AlternateContent>
  <bookViews>
    <workbookView xWindow="0" yWindow="0" windowWidth="28800" windowHeight="12345"/>
  </bookViews>
  <sheets>
    <sheet name="zamówienia" sheetId="2" r:id="rId1"/>
  </sheets>
  <definedNames>
    <definedName name="_xlnm._FilterDatabase" localSheetId="0" hidden="1">zamówienia!$B$3:$F$127</definedName>
    <definedName name="_xlnm.Print_Area" localSheetId="0">zamówienia!$A$1:$F$129</definedName>
  </definedNames>
  <calcPr calcId="162913"/>
</workbook>
</file>

<file path=xl/calcChain.xml><?xml version="1.0" encoding="utf-8"?>
<calcChain xmlns="http://schemas.openxmlformats.org/spreadsheetml/2006/main">
  <c r="F127" i="2" l="1"/>
  <c r="F57" i="2"/>
  <c r="F55" i="2"/>
  <c r="F19" i="2"/>
  <c r="F121" i="2"/>
  <c r="F125" i="2"/>
  <c r="F64" i="2"/>
  <c r="F123" i="2"/>
  <c r="F124" i="2"/>
  <c r="F126" i="2"/>
  <c r="F122" i="2"/>
  <c r="F109" i="2"/>
  <c r="F90" i="2"/>
  <c r="F120" i="2"/>
  <c r="F95" i="2"/>
  <c r="F119" i="2"/>
  <c r="F116" i="2"/>
  <c r="F117" i="2"/>
  <c r="F76" i="2"/>
  <c r="F81" i="2"/>
  <c r="F14" i="2"/>
  <c r="F115" i="2"/>
  <c r="F86" i="2"/>
  <c r="F88" i="2"/>
  <c r="F13" i="2"/>
  <c r="F15" i="2"/>
  <c r="F101" i="2" l="1"/>
  <c r="F100" i="2"/>
  <c r="F118" i="2"/>
  <c r="F59" i="2"/>
  <c r="F102" i="2"/>
  <c r="F114" i="2"/>
  <c r="F47" i="2"/>
  <c r="F108" i="2"/>
  <c r="F92" i="2"/>
  <c r="F66" i="2"/>
  <c r="F113" i="2"/>
  <c r="F87" i="2"/>
  <c r="F105" i="2" l="1"/>
  <c r="F99" i="2"/>
  <c r="F104" i="2"/>
  <c r="F103" i="2"/>
  <c r="F93" i="2" l="1"/>
  <c r="F94" i="2"/>
  <c r="F85" i="2"/>
  <c r="F110" i="2"/>
  <c r="F89" i="2"/>
  <c r="F112" i="2"/>
  <c r="F75" i="2"/>
  <c r="F79" i="2"/>
  <c r="F97" i="2"/>
  <c r="F107" i="2"/>
  <c r="F72" i="2"/>
  <c r="F84" i="2"/>
  <c r="F91" i="2"/>
  <c r="F68" i="2"/>
  <c r="F96" i="2"/>
  <c r="F77" i="2"/>
  <c r="F80" i="2"/>
  <c r="F71" i="2"/>
  <c r="F36" i="2" l="1"/>
  <c r="F41" i="2"/>
  <c r="F70" i="2"/>
  <c r="F82" i="2"/>
  <c r="F43" i="2"/>
  <c r="F98" i="2" l="1"/>
  <c r="F83" i="2"/>
  <c r="F73" i="2"/>
  <c r="F69" i="2"/>
  <c r="F27" i="2"/>
  <c r="F65" i="2"/>
  <c r="F63" i="2"/>
  <c r="F67" i="2"/>
  <c r="F62" i="2"/>
  <c r="F61" i="2"/>
  <c r="F58" i="2"/>
  <c r="F56" i="2"/>
  <c r="F53" i="2"/>
  <c r="F51" i="2"/>
  <c r="F50" i="2"/>
  <c r="F49" i="2"/>
  <c r="F48" i="2"/>
  <c r="F46" i="2"/>
  <c r="F45" i="2"/>
  <c r="F44" i="2"/>
  <c r="F42" i="2"/>
  <c r="F40" i="2"/>
  <c r="F39" i="2"/>
  <c r="F38" i="2"/>
  <c r="F37" i="2"/>
  <c r="F35" i="2"/>
  <c r="F34" i="2"/>
  <c r="F33" i="2"/>
  <c r="F32" i="2"/>
  <c r="F31" i="2"/>
  <c r="F30" i="2"/>
  <c r="F29" i="2"/>
  <c r="F28" i="2"/>
  <c r="F26" i="2"/>
  <c r="F25" i="2"/>
  <c r="F24" i="2"/>
  <c r="F23" i="2"/>
  <c r="F22" i="2"/>
  <c r="F21" i="2"/>
  <c r="F20" i="2"/>
  <c r="F18" i="2"/>
  <c r="F17" i="2"/>
  <c r="F16" i="2"/>
  <c r="F12" i="2"/>
  <c r="F11" i="2"/>
  <c r="F10" i="2"/>
  <c r="F6" i="2"/>
</calcChain>
</file>

<file path=xl/sharedStrings.xml><?xml version="1.0" encoding="utf-8"?>
<sst xmlns="http://schemas.openxmlformats.org/spreadsheetml/2006/main" count="502" uniqueCount="409">
  <si>
    <t>Wykonawca</t>
  </si>
  <si>
    <t>usługa/zakup</t>
  </si>
  <si>
    <t>Data wniosku</t>
  </si>
  <si>
    <t>Nr zamówienia - wniosku DF-WKS</t>
  </si>
  <si>
    <t>Lp.</t>
  </si>
  <si>
    <t>Wartość zamówienia</t>
  </si>
  <si>
    <t>opłata</t>
  </si>
  <si>
    <t>Poczta Polska S.A.</t>
  </si>
  <si>
    <t>-</t>
  </si>
  <si>
    <t>RAZEM</t>
  </si>
  <si>
    <t>BAZARNIK Sp.z.o.o.</t>
  </si>
  <si>
    <t xml:space="preserve">opłata </t>
  </si>
  <si>
    <t>Sage Sp.z o.o.</t>
  </si>
  <si>
    <t>Uniwersytet Warszawski</t>
  </si>
  <si>
    <t>Opłata abonamentowa za używanie odbiorników RTV w 2018 roku</t>
  </si>
  <si>
    <t>167/2017</t>
  </si>
  <si>
    <t>31-08-2017</t>
  </si>
  <si>
    <t>230/2017</t>
  </si>
  <si>
    <t>Compendium - Centrum Edukacyjne Spółka z o.o.</t>
  </si>
  <si>
    <t>21-11-2017</t>
  </si>
  <si>
    <t>Udzial  w szkoleniu "FortiGate - kompleksowa ochrona kazdej Sieci I"</t>
  </si>
  <si>
    <t xml:space="preserve">Odnowienie Gwarancja Komfort dla e-Deklaracje na okres 12 m-cy </t>
  </si>
  <si>
    <t>1/2018</t>
  </si>
  <si>
    <t>5/2018</t>
  </si>
  <si>
    <t>02-01-2018</t>
  </si>
  <si>
    <t>Zakup artykułów spożywczych na potrzeby CPPC</t>
  </si>
  <si>
    <t xml:space="preserve"> Rejestr zamówień finansowanych przez Centrum Projektów Polska Cyfrowa w 2018 roku </t>
  </si>
  <si>
    <t>19/2018</t>
  </si>
  <si>
    <t>06-02-2018</t>
  </si>
  <si>
    <t>Zakup akcesoriów na wyposażenie biur i pomieszczeń socjalnych</t>
  </si>
  <si>
    <t>22/2018</t>
  </si>
  <si>
    <t>09-02-2018</t>
  </si>
  <si>
    <t>Zakup przenośnej macierzy (NAS) wraz z 5 dyskami 6TB dedykowanymi do NAS do przechowywania plików w infrastrukturze sieciowej CPPC</t>
  </si>
  <si>
    <t>X-KOM sp. z o.o.</t>
  </si>
  <si>
    <t>23/2018</t>
  </si>
  <si>
    <t>MORELE.NET Sp. z o.o.</t>
  </si>
  <si>
    <t>30/2018</t>
  </si>
  <si>
    <t>13-02-2018</t>
  </si>
  <si>
    <t>Zakup niezbędnych akcesoriów technicznych - narzędzia pracy</t>
  </si>
  <si>
    <t xml:space="preserve">Zakup drukarki etykiet Dymo LabelManager 280 </t>
  </si>
  <si>
    <t>21/2018</t>
  </si>
  <si>
    <t>18/2018</t>
  </si>
  <si>
    <t>20/2018</t>
  </si>
  <si>
    <t>29/2018</t>
  </si>
  <si>
    <t>32/2018</t>
  </si>
  <si>
    <t>39/2018</t>
  </si>
  <si>
    <t>40/2018</t>
  </si>
  <si>
    <t>28/2018</t>
  </si>
  <si>
    <t>Golden Training Kornelia Jeleń</t>
  </si>
  <si>
    <t>Udział w szkoleniu "Klasyfikacja budżetowa w świetle interpretacji Ministerstwa Finansów"</t>
  </si>
  <si>
    <t>02-02-2018</t>
  </si>
  <si>
    <t>Ośrodek Edukacyjny FORUM Anna Hoffman</t>
  </si>
  <si>
    <t>06-2-2018</t>
  </si>
  <si>
    <t>Wolters Kluwer Polska Sp. z o.o.</t>
  </si>
  <si>
    <t>Udział w szkoleniu "Delegacje, podróże służbowe krajowe i zagraniczne 2018 w sektorze publicznym - praktyczne zasady i kompleksowa problematyka rozliczeń z pracownikami"</t>
  </si>
  <si>
    <t>Sklep Spożywczy BRATEK s.c.</t>
  </si>
  <si>
    <t>19-02-2018</t>
  </si>
  <si>
    <t>Zakup wydawnictwa fachowego: "Plan kont dla jednostek budżetowych i samorządowych zakładów budżetowych" dr Dorota Adamek-Hyska</t>
  </si>
  <si>
    <t>PRESSCOM Sp.z o.o.</t>
  </si>
  <si>
    <t>20-02-2018</t>
  </si>
  <si>
    <t>Miasto Stołeczne Warszawa</t>
  </si>
  <si>
    <t>Zakup wydawnictwa fachowego "Klasyfikacja budżetowa 2018"</t>
  </si>
  <si>
    <t>01-03-2018</t>
  </si>
  <si>
    <t>Wydawnictwo C.H. Beck Sp. z o.o.</t>
  </si>
  <si>
    <t xml:space="preserve">Udział w szkoleniu "Bilans zamknięcia za 2017 r. przygotowanie ksiąg oraz zasady sporządzania sprawozdań..." </t>
  </si>
  <si>
    <t xml:space="preserve">Świadczenie pomocy technicznej oraz merytorycznej dla systemu finansowo-księgowego Progman Finanse Premium na okres 1 roku – Pakiet Standard </t>
  </si>
  <si>
    <t>Udział 3 pracowników Wydziału Zamówień Publicznych w "V Ogólnopolskiej Konferencji: Udzielanie i wykonywanie zamówień publicznych w 2018 r. Trudności i wątpliwości praktyki"</t>
  </si>
  <si>
    <t>Naukowa i Akademicka Sieć Komputerowa</t>
  </si>
  <si>
    <t>Opłata za usługę utrzymania domeny cppc.gov.pl i wwpe.gov.pl przez okres 12 miesięcy</t>
  </si>
  <si>
    <t>56/2018</t>
  </si>
  <si>
    <t>22-02-2018</t>
  </si>
  <si>
    <t>22-03-2018</t>
  </si>
  <si>
    <t xml:space="preserve">Włoski Instytut Kultury </t>
  </si>
  <si>
    <t>Refundacja kosztów nauki języka włoskiego.</t>
  </si>
  <si>
    <t>45/2018</t>
  </si>
  <si>
    <t>02-03-2018</t>
  </si>
  <si>
    <t>67/2018</t>
  </si>
  <si>
    <t>Akademia Leona Koźmińskiego</t>
  </si>
  <si>
    <t>29-03-2018</t>
  </si>
  <si>
    <t>Refundacja kosztów studiów podyplomowych "Prawo nowoczesnych Technologii"</t>
  </si>
  <si>
    <t>2/2018</t>
  </si>
  <si>
    <t>Zakup książek w wersji drukowanej na potrzeby CPPC</t>
  </si>
  <si>
    <t>48/2018</t>
  </si>
  <si>
    <t>12-03-2018</t>
  </si>
  <si>
    <t>Dostawa elektronicznego certyfikatu SSL typu OV wildcar pozwalającego identyfikować domenę cppc.gov.pl w Internecie przez okres 2 lat (Certyfikaty SSL są narzędziem zapewniającym ochronę witryn internetowych, a także gwarantem zachowania poufności danych przesyłanych drogą elektroniczną. Pełne bezpieczeństwo jest efektem zastosowania szyfrowania komunikacji pomiędzy komputerami. Certyfikaty SSL rejestrowane są na określoną nazwę domeny, zawierają informacje o właścicielu domeny, jego adresie itp. Dane te są zabezpieczone kryptograficznie i nie można ich samodzielnie zmienić.)</t>
  </si>
  <si>
    <t>Domeny.pl sp. zo.o.</t>
  </si>
  <si>
    <t>59/2018</t>
  </si>
  <si>
    <t>04-04-2018</t>
  </si>
  <si>
    <t>53/2018</t>
  </si>
  <si>
    <t>SOLID MCG sp. z o.o.</t>
  </si>
  <si>
    <t>19-03-2018</t>
  </si>
  <si>
    <t>7/2018</t>
  </si>
  <si>
    <t>Stowarzyszenie Archiwistów Polskich</t>
  </si>
  <si>
    <t>05-01-2018</t>
  </si>
  <si>
    <t>Udział w kursie dla archiwistów I stopnia.</t>
  </si>
  <si>
    <t>42/2018</t>
  </si>
  <si>
    <t>Deko Line Marcin Rolski</t>
  </si>
  <si>
    <t>06-03-2018</t>
  </si>
  <si>
    <t>Usługa wykonania folii matowej na szklane przegrody w pomieszczeniach biurowych w siedzibie CPPC</t>
  </si>
  <si>
    <t>51/2018</t>
  </si>
  <si>
    <t>13-03-2018</t>
  </si>
  <si>
    <t>Zakup materiałów biurowych na potrzeby działań promocyjnych w ramach POPC</t>
  </si>
  <si>
    <t>58/2018</t>
  </si>
  <si>
    <t>Martech Marcin Banasiak</t>
  </si>
  <si>
    <t>64/2018</t>
  </si>
  <si>
    <t>10-04-2018</t>
  </si>
  <si>
    <t>Royal Point Sp. z o.o.</t>
  </si>
  <si>
    <t>14/2018</t>
  </si>
  <si>
    <t>11-01-2018</t>
  </si>
  <si>
    <t>Bluesmart Michał Adamczyk</t>
  </si>
  <si>
    <t>43/2018</t>
  </si>
  <si>
    <t>23-02-2018</t>
  </si>
  <si>
    <t>Refundacja studiów podyplomowych "Prawo nowoczesnych technologii"</t>
  </si>
  <si>
    <t>09-05-2018</t>
  </si>
  <si>
    <t>79/2019</t>
  </si>
  <si>
    <t>Euro-Lingua s.c. Ośrodek Nauczania Języków Obcych Skalimowska A., Bartosiak A.</t>
  </si>
  <si>
    <t>65/2018</t>
  </si>
  <si>
    <t>12-04-2018</t>
  </si>
  <si>
    <t>Udział w "V Forum Kierowników IT w Administracji" w dniach 18-20.04.2018 Zakopane</t>
  </si>
  <si>
    <t>77/2018</t>
  </si>
  <si>
    <t>26-04-2018</t>
  </si>
  <si>
    <t>47/2018</t>
  </si>
  <si>
    <t>Udział 2 pracowników Wydziału Księgowości w Forum Rachunkowości Budżetowej 21-23.05.2018 Zakopane</t>
  </si>
  <si>
    <t>Badanie techniczne WI 4779C + wpis do CEPiK</t>
  </si>
  <si>
    <t>76/2018</t>
  </si>
  <si>
    <t>24-04-2018</t>
  </si>
  <si>
    <t>AN-MAR F.H.U. Stacja Obsługi Samochodów</t>
  </si>
  <si>
    <t>27/2018</t>
  </si>
  <si>
    <t>Spółdzielnia Pracy ARGO-FILM</t>
  </si>
  <si>
    <t>89/2018</t>
  </si>
  <si>
    <t>23-05-2018</t>
  </si>
  <si>
    <t>91/2018</t>
  </si>
  <si>
    <t>Udział w szkoleniu "Praktyczne aspekty wdrażania instrumentów finansowych w programach operacyjnych na lata 2014-2020"</t>
  </si>
  <si>
    <t>25-05-2018</t>
  </si>
  <si>
    <t>Polski Instytut Kształcenia Krzysztof Zientarski</t>
  </si>
  <si>
    <t>98/2018</t>
  </si>
  <si>
    <t>Roczna prenumerata miesięcznika "Finanse Publiczne" od numeru 07/2018 do 06/2019</t>
  </si>
  <si>
    <t>06-06-2018</t>
  </si>
  <si>
    <t>4 Business&amp;People Sp.z o.o.</t>
  </si>
  <si>
    <t>01-06-2018</t>
  </si>
  <si>
    <t>93/2018</t>
  </si>
  <si>
    <t>Kwiecień Mirosław MIRTRANS</t>
  </si>
  <si>
    <t>95/2018</t>
  </si>
  <si>
    <t>Zakup tonerów oraz pojemników na zużyty toner do drukarek celem zabezpieczenia prawidłowego funkcjonowania komórek organizacyjnych</t>
  </si>
  <si>
    <t>Leroy-Merlin Polskla sp. z o.o; Przedsiębiorstwo Handlowo Usługowe DAX Dariusz Parzyszek; METRO Andrzej Lipka i Wspólnicy Spółka Jawna; Castorama Polska Sp. z o.o.</t>
  </si>
  <si>
    <t xml:space="preserve">Zakup paliwa do samochodu służbowego </t>
  </si>
  <si>
    <t xml:space="preserve">opłta </t>
  </si>
  <si>
    <t>PKN ORLEN S.A.</t>
  </si>
  <si>
    <t>99/2018</t>
  </si>
  <si>
    <t>Zakup akcesoriów komputerowych na potrzeby CPPC</t>
  </si>
  <si>
    <t>EwTrade Ewa Marzec, Auchan Polska sp. zo.o.; D.H.R. Kontakt sp. zo.o.; Lidl sp.z o.o. sp.k. Carrefour Polska s. z o.o.; Makro Cash and Carry Polska SA; FRISCO.pl Sp.z o.o.</t>
  </si>
  <si>
    <t>107/2018</t>
  </si>
  <si>
    <t>Stowarzyszenie Księgowych w Polsce Zarząd Główny w Warszawie Oddział Okręgowy w Warszawie</t>
  </si>
  <si>
    <t>122/2017</t>
  </si>
  <si>
    <t>26-06-2018</t>
  </si>
  <si>
    <t>Udział w kursie "Kurs na samodzielnych księgowych (bilansistów) -specjalista ds. rachunkowości"</t>
  </si>
  <si>
    <t>101/2018</t>
  </si>
  <si>
    <t>Udział w szkoleniu pt.: "Split Payment oraz bieżące problemy sektora publicznego w zakresie podatku VAT"</t>
  </si>
  <si>
    <t>MDDP Akademia Biznesu Sp. z.o.o.</t>
  </si>
  <si>
    <t>109/2018</t>
  </si>
  <si>
    <t>192/2017</t>
  </si>
  <si>
    <t>13-09-2017</t>
  </si>
  <si>
    <t>Sfinansowanie studiów I stopnia "Informatyka" E.Zdrójkowski</t>
  </si>
  <si>
    <t>06-04-2018</t>
  </si>
  <si>
    <t>62/2018</t>
  </si>
  <si>
    <t>22-05-2018</t>
  </si>
  <si>
    <t>88/2018</t>
  </si>
  <si>
    <t>106/2018</t>
  </si>
  <si>
    <t>20-06-2018</t>
  </si>
  <si>
    <t>108/2018</t>
  </si>
  <si>
    <t>Montaż zakola oraz diagnostyka komputerowa silnika w samochodzie służbowym CPPC Peugeot 307, nr rej. WI4779C</t>
  </si>
  <si>
    <t>114/2018</t>
  </si>
  <si>
    <t>17-07-2018</t>
  </si>
  <si>
    <t>Prenumerata prasy o tematyce IT w wersji papierowej na potrzeby Biura IT</t>
  </si>
  <si>
    <t>23-07-2018</t>
  </si>
  <si>
    <t>06-08-2018</t>
  </si>
  <si>
    <t>117/2018</t>
  </si>
  <si>
    <t>Zakup 100szt. Biletów ZTM jednorazowych przesiadkowych, na potrzeby pracowników CPPC, na potrzeby Wydziału Kontroli</t>
  </si>
  <si>
    <t>121/2018</t>
  </si>
  <si>
    <t>Konserwacja układu klimatyzacji z wymianą filtra kabiny w sam. Służbowych - CPPC Skoda Rapid</t>
  </si>
  <si>
    <t>Zarząd Transportu Miejskiego</t>
  </si>
  <si>
    <t>JAR-CAR Jacek Jarka</t>
  </si>
  <si>
    <t xml:space="preserve">Magdalena Zielińska Centrum Nauczania Jęz. Obcych OK Language Center </t>
  </si>
  <si>
    <t>VEGA BUSINESS SERVICES</t>
  </si>
  <si>
    <t>Wyzsza Szkoła Technologii Informatycznych</t>
  </si>
  <si>
    <t xml:space="preserve">AKN Szkoła dla ambitnych </t>
  </si>
  <si>
    <t>10-07-2018</t>
  </si>
  <si>
    <t>112/2018</t>
  </si>
  <si>
    <t>27-06-2018</t>
  </si>
  <si>
    <t>Kancelaria PR Sp. z o.o.</t>
  </si>
  <si>
    <t>PRESSCOM Sp.z o.o.; INTERNATIONAL DATA GROUP POLSKA SPÓŁKA  AKCYJNA; Wiedza i Praktyka Sp.z o.o.</t>
  </si>
  <si>
    <t xml:space="preserve">Udział w szkoleniu medialnym dla Dyrekcji CPPC </t>
  </si>
  <si>
    <t>Trójka Elekreonics s.c. A.Chlebowski, R.Tonkiewicz; Carrefour Polska s. z o.o.; Leroy-Merlin Polskla sp. z o.o; Sklep Komfort s.a.; Strefa Xero-Druk i Reklama sp. zo.o.; Decathlon Sp. z o.o.; SMYK S.A.; INTROLIGATORSTWO POD FILARAMI Tadeusz Liebchen</t>
  </si>
  <si>
    <t>146/2018</t>
  </si>
  <si>
    <t>11-09-2018</t>
  </si>
  <si>
    <t>130/2018</t>
  </si>
  <si>
    <t>Dostęp dla 3 osób do bazy orzeczeń szukio.pl na okres 12 m-cy</t>
  </si>
  <si>
    <t>22-08-2018</t>
  </si>
  <si>
    <t>LSLABS Maciej Tomaka</t>
  </si>
  <si>
    <t>163/2018</t>
  </si>
  <si>
    <t>28-08-2018</t>
  </si>
  <si>
    <t>Marta Skrzypińska - Języki Obce</t>
  </si>
  <si>
    <t>131/2018</t>
  </si>
  <si>
    <t>23-08-2018</t>
  </si>
  <si>
    <t>INTRONEX Angelika Gołembiowska</t>
  </si>
  <si>
    <t>63/2018</t>
  </si>
  <si>
    <t>Agnieszka Kostrzewa-Nowak</t>
  </si>
  <si>
    <t>Refundacja za kurs jęz. angielskiego</t>
  </si>
  <si>
    <t>145/2018</t>
  </si>
  <si>
    <t>Zakup profesjonalnego oprogramowania do planowania, śledzenia i raportowania wszelkich projektów biznesowych oraz szybszego wyszukiwania informacji i dokumentów na potrzeby CPPC</t>
  </si>
  <si>
    <t>06-09-2018</t>
  </si>
  <si>
    <t>TRANSITION Technologies PSC sp. z o.o.</t>
  </si>
  <si>
    <t>122/2018</t>
  </si>
  <si>
    <t>02-08-2018</t>
  </si>
  <si>
    <t>Centrum Organizacji Szkoleń i Konferencji SEMPER Magdalena Wolniewicz-Kesaria</t>
  </si>
  <si>
    <t>60/2018</t>
  </si>
  <si>
    <t>05-04-2018</t>
  </si>
  <si>
    <t>Nauka Jęzuka Sylwia Latawska</t>
  </si>
  <si>
    <t>156/2018</t>
  </si>
  <si>
    <t>Fundacja British Council</t>
  </si>
  <si>
    <t>24-09-2018</t>
  </si>
  <si>
    <t>185/2018</t>
  </si>
  <si>
    <t>Wojskowa Akademia Techniczna</t>
  </si>
  <si>
    <t>09-10-2018</t>
  </si>
  <si>
    <t>125/2018</t>
  </si>
  <si>
    <t>10-08-2018</t>
  </si>
  <si>
    <t>DUKA International s.a.;  Makro Cash and Carry Polska SA; IKEA Retail sp. z o.o., Leroy-Merlin Polskla sp. z o.o, Castorama Polska Sp. z o.o.; Łukasz Stachurski Grawicom; Decathlon Sp. z o.o.; M99 sp. z o.o. sp. k., Lidl sp.z o.o. sp.k.; Carrefour Polska s. z o.o.; MANUTAN POLSKA Sp. z o.o.</t>
  </si>
  <si>
    <t>162/2018</t>
  </si>
  <si>
    <t>Prenumerata prasy w wersji papierowej na potrzeby Departamentu Prawnego</t>
  </si>
  <si>
    <t>26-09-2018</t>
  </si>
  <si>
    <t>143/2018</t>
  </si>
  <si>
    <t>Zakup wydawnictwa fachowego "Vademecum głównego księgowego jednostki finansów publicznych + płyta CD"</t>
  </si>
  <si>
    <t>05-09-2018</t>
  </si>
  <si>
    <t>135/2018</t>
  </si>
  <si>
    <t>Usunięcie awarii serwera poczty Exchange w CPPC</t>
  </si>
  <si>
    <t>24-08-2018</t>
  </si>
  <si>
    <t>A.P.N.PROMISE S.A.</t>
  </si>
  <si>
    <t>161/2018</t>
  </si>
  <si>
    <t>120/2018</t>
  </si>
  <si>
    <t>14-06-2018</t>
  </si>
  <si>
    <t>Szkolenia "Linux Administrator LPIC-1 101" i "Linux Engineer LPIC-2 201"</t>
  </si>
  <si>
    <t>NobleProg Marcin Mańka</t>
  </si>
  <si>
    <t>148/2018</t>
  </si>
  <si>
    <t>30-08-2018</t>
  </si>
  <si>
    <t>08-08-2018</t>
  </si>
  <si>
    <t>127/2018</t>
  </si>
  <si>
    <t>Centrum Rozwoju INVENTUM Barbara Sakowska</t>
  </si>
  <si>
    <t>134/2018</t>
  </si>
  <si>
    <t xml:space="preserve">Szkolenie "Umowa o dofinansowanie ze środków unijnych-jak należycie zabezpieczyć zobowiązania wynikające z umowy" dla 9 osób z Wydziału Prawnego i 5 osób z Wydziału Finansów </t>
  </si>
  <si>
    <t>J.G.Training Jadwiga Gwóźdź</t>
  </si>
  <si>
    <t>177/2018</t>
  </si>
  <si>
    <t>Zakup szafy kartotekowej A4 na potrzeby wydziału Kadr i Płac CPPC</t>
  </si>
  <si>
    <t>B2B Partner Spółka z o.o.</t>
  </si>
  <si>
    <t>FORUM Media Polska Sp.z o.o.; INFOR BIZNES Sp. z o.o.; PRESSCOM Sp.z o.o.; Wydawnictwo C.H. Beck Sp. z o.o.</t>
  </si>
  <si>
    <t>29-08-2018</t>
  </si>
  <si>
    <t>Dofinansowanie studiów licencjackich "Zarządzanie kapitałem ludzkim" (6 semestrów) od października 2018 - czerwiec 2021</t>
  </si>
  <si>
    <t>140/2018</t>
  </si>
  <si>
    <t>Wyższa Szkoła im. Bogbana Jańskiego</t>
  </si>
  <si>
    <t>19-06-2018</t>
  </si>
  <si>
    <t xml:space="preserve">Dofinansowanie studiów podyplomowych "Zarządzanie projektem informatycznym" październik 2018-czerwiec 2019 </t>
  </si>
  <si>
    <t>133/2018</t>
  </si>
  <si>
    <t>184/2018</t>
  </si>
  <si>
    <t>04-10-2018</t>
  </si>
  <si>
    <t>Wysłanie przesyłki kurierskiej</t>
  </si>
  <si>
    <t>15-10-2018</t>
  </si>
  <si>
    <t>Inmedio Sp. zo.o.</t>
  </si>
  <si>
    <t>154/2018</t>
  </si>
  <si>
    <t>ACC Training&amp;Consulting Group</t>
  </si>
  <si>
    <t>180/2018</t>
  </si>
  <si>
    <t>Zakup materiałów biurowych - 200szt. Teczek na akta osobowe, na potrzeby Wydziału Kadr i Płac</t>
  </si>
  <si>
    <t>AMECO M.Chłostecki J.Dędkowski T.Kądziela spółka jawna</t>
  </si>
  <si>
    <t>149/2018</t>
  </si>
  <si>
    <t>Udział w kursie pn." Kurs podstaw rachunkowości"</t>
  </si>
  <si>
    <t>Profit M Spółka z ograniczona odpowiedzialnością  sp. j.; Wolters Kluwer Polska Sp. z o.o.; Profit M Spółka z ograniczona odpowiedzialnością  sp. j.; Księgarnia Ekonomiczna Kazimierz Leki Sp.z o.o. Filia Naukowa</t>
  </si>
  <si>
    <t>159/2018</t>
  </si>
  <si>
    <t>16-02-2018</t>
  </si>
  <si>
    <t>Marta Skrzypińska-Języki Obce</t>
  </si>
  <si>
    <t>158/2018</t>
  </si>
  <si>
    <t>21-09-2018</t>
  </si>
  <si>
    <t>Udział w szkoleniu "Twórczość w urzędzie czyli podstawa prawa autorskiego a instytucja publiczna" dla 4 pracowników DP</t>
  </si>
  <si>
    <t>Krajowa Szkoła Administracji Publicznej im. Prezydenta Rzeczpospolitej Polskiej Lecha Kaczyńskiego</t>
  </si>
  <si>
    <t>176/2018</t>
  </si>
  <si>
    <t>Naprawa światła cofania w samochodzie służbowym CPPC Peugeot 307, WI 4779C</t>
  </si>
  <si>
    <t>08-10-2018</t>
  </si>
  <si>
    <t>170/2018</t>
  </si>
  <si>
    <t>02-10-2018</t>
  </si>
  <si>
    <t>Badanie techniczne samochodu służbowego WI 8988L + wpis do CEPiK</t>
  </si>
  <si>
    <t>171/2018</t>
  </si>
  <si>
    <t>Udział w szkoleniu pt."Dochody i wydatki budżetowe w 2018r. W JSFP" dla pracowników Wydziału Księgowości i Płatności</t>
  </si>
  <si>
    <t>03-10-2018</t>
  </si>
  <si>
    <t>166/2018</t>
  </si>
  <si>
    <t>Udział w szkoleniu pt.: "Finanse publiczne w praktyce w 2018roku. Zasady gospodarki finansowej - dyscyplina finansów publicznych - kontrola zarządcza - budżet zadaniowy" dla dwóch pracowników Wydziału Budżetu Operacyjnego</t>
  </si>
  <si>
    <t>174/2018</t>
  </si>
  <si>
    <t>183/2018</t>
  </si>
  <si>
    <t>Zakup różnych druków akcydensowych na potrzeby CPPC</t>
  </si>
  <si>
    <t>11-10-2018</t>
  </si>
  <si>
    <t>PPUH Tamago Spółka Cywilna Izabela Gołębiewska Marek Gołębiewski</t>
  </si>
  <si>
    <t>152/2018</t>
  </si>
  <si>
    <t>Udział w szkoleniu pt.: "Inwentaryzacja w jednostkach sektora finansów publicznych"</t>
  </si>
  <si>
    <t>18-09-2018</t>
  </si>
  <si>
    <t>115/2018</t>
  </si>
  <si>
    <t>Usługa konsultacyjno-wdrożeniowa do systemu Sage Kadry i płace One Payroll 2018.2</t>
  </si>
  <si>
    <t>20-07-2018</t>
  </si>
  <si>
    <t>157/2018</t>
  </si>
  <si>
    <t>178/2018</t>
  </si>
  <si>
    <t>186/2018</t>
  </si>
  <si>
    <t>72/2018</t>
  </si>
  <si>
    <t>16-04-2018</t>
  </si>
  <si>
    <t xml:space="preserve">Refundacja kosztów za studia podyplomowe "Windykacja należności" na </t>
  </si>
  <si>
    <t>Wyższa Szkoła Handlowa</t>
  </si>
  <si>
    <t>169/2018</t>
  </si>
  <si>
    <t>Udział w szkoleniu pt.: "Administracyjne kary pieniężne - zasady nakładania i wymierzania w świetle Kodeksu postępowania administracyjnego" dla pracowników Departamentu Prawnego</t>
  </si>
  <si>
    <t>179/2018</t>
  </si>
  <si>
    <t>202/2018</t>
  </si>
  <si>
    <t>24-10-2018</t>
  </si>
  <si>
    <t>191/2018</t>
  </si>
  <si>
    <t>Udział w szkoleniu - Prince2 Foundation + egzamin, dla pracownika Wydziału Kontroli</t>
  </si>
  <si>
    <t>25-10-2018</t>
  </si>
  <si>
    <t>Inprogress Szkolenia sp. zo.o</t>
  </si>
  <si>
    <t>167/2018</t>
  </si>
  <si>
    <t>168/2018</t>
  </si>
  <si>
    <t xml:space="preserve">Udział w szkoleniu pt.: "Trwałość projektów współfinansowanych ze środków UE" dla pracowników Departamentu Prawnego </t>
  </si>
  <si>
    <t>Towarzystwo Edukacyjne SOKRATES s.j. o. Z.Skierski, T.Rowecki</t>
  </si>
  <si>
    <t>Aleksandra Kostecka-Szewc</t>
  </si>
  <si>
    <t>PANTA s.c. Milanka Cirlić Jose Gomez Moreno</t>
  </si>
  <si>
    <t>"Lektor" s.c. Katarzyna Berger-Kuźniar, Piotr Błoch</t>
  </si>
  <si>
    <t>Zgłoszenie i udział wyróżnionych za pracę pracowników w konkursie "Pracownik Roku" organizowanym w dniu 15.06.2018 - Finał</t>
  </si>
  <si>
    <t>Udział w studium podyplomowym "Podyplomowe studium podatków i prawa podatkowego - Wydział Prawa i Administracji UW"</t>
  </si>
  <si>
    <t>Wykonanie i dostawa pieczątek (automaty samotuszujące, gumki z tekstem), datowników oraz wizytówek zgodnie z ustalonymi parametrami</t>
  </si>
  <si>
    <t>Usługa ekspercka polegająca na ocenie dokumentacji projektowej projektu p.ID, współfinansowanego w ramach 7 osi priorytetowej POIG, a także dokumentacji pn. Koncepcja e-Dowód…</t>
  </si>
  <si>
    <t>Utylizacja 100 szt. zużytych tonerów</t>
  </si>
  <si>
    <t>Zakup 3 szt. biletów ZTM 90-dniowych normalnych na okaziciela, na potrzeby pracowników Wydziału Kontroli</t>
  </si>
  <si>
    <t>Zakup usługi przewozu/ transportu wartości pieniężnych (weksli) o wartości nie przewyższającej 8 jednostek pieniężnych z siedziby CPPC do siedziby Prokuratorii Generalnej RP (trasa ok.5 km dzielnica Centrum).</t>
  </si>
  <si>
    <t>Zakup 3 taśm DYM D1 12mmX7 niezbędnych do drukarki etykiet Dymo LabelManager 280 na potrzeby Wydziały Kadr i Płac</t>
  </si>
  <si>
    <t xml:space="preserve">Zakup 50 szt. biletów ZTM jednorazowych </t>
  </si>
  <si>
    <t>Refundacja jęz. angielskiego</t>
  </si>
  <si>
    <t xml:space="preserve">Refundacja jęz. angielskiego </t>
  </si>
  <si>
    <t>Zakup 7 szt. walizek podróżnych dla pracowników CPPC-Wydziału Kontroli na potrzeby kontroli projektów POIG i POPC w terenie.</t>
  </si>
  <si>
    <t xml:space="preserve">Udział w szkoleniu " Nowoczesny sekretariat i kancelaria w administracji publicznej" </t>
  </si>
  <si>
    <t>Zakup 4 szt. nawilżaczy powietrza do pomieszczeń biurowych w siedzibie CPPC</t>
  </si>
  <si>
    <t>Usługa transportowa do miejsca przeprowadzenia szkolenia "Rozwój wiedzy i umiejętności oraz zmiana postawy pracowników w zakresie współpracy zespołowej, psychologii…" w dniach 15-17.06.2018</t>
  </si>
  <si>
    <t>Zakup 5 taśm do drukarki etykiet Dymo LabelManager 280 na potrzeby Wydziału Kadr i Płac CPPC</t>
  </si>
  <si>
    <t>Zakup 50 szt. biletów ZTM jednorazowych, przesiadkowych normalnych na potrzeby Wydziału Kontroli</t>
  </si>
  <si>
    <t>Udział w szkoleniu pn. "Specjalista ds. Zamówień Publicznych - 3-dniowe warsztaty praktyczne z uwzględnieniem nowelizacji przepisów. Elektronizacja zamówień publicznych 2018 dla archiwistów I stopnia" pracownika CPPC</t>
  </si>
  <si>
    <t>Szkolenia "Kurs kancelaryjno-archiwalny I stopnia"</t>
  </si>
  <si>
    <t xml:space="preserve"> Zakup gablot do zamieszczania ogłoszeń dot. zamówień publicznych </t>
  </si>
  <si>
    <t>Udział w szkoleniu pn. "Split payment oraz bieżące problemy sektora publicznego w zakresie podatku VAT"</t>
  </si>
  <si>
    <t xml:space="preserve">Udział w szkoleniu pn.: Należności Budżetowe 2018 w JSFP w dniu 24.09.2018r. W Warszawie dla Wydziału Kadr i Płac </t>
  </si>
  <si>
    <t>Udział w szkoleniu pt.: "ABC zamówień publicznych z uwzględnieniem elektronizacji oraz RODO - szkolenie dla początkujących" dla dwóch pracowników WBO</t>
  </si>
  <si>
    <t>Udział w szkoleniu pt.: "Mediacja w postępowaniu administracyjnym" dla pracowników Departamentu Prawnego</t>
  </si>
  <si>
    <t>Udział w szkoleniu pt. "Zmiany sprawozdawczości budżetowej w 2018 - praktyczne aspekty" w dn. 23.10.2018r. " dla pracowników Wydziału Księgowości i Płatności</t>
  </si>
  <si>
    <t xml:space="preserve">Refundacja jęz. hiszpańskiego </t>
  </si>
  <si>
    <t>Niestacjonarne studia podyplomowe na Wydziale Elektroniki w WAT "Systemy i  sieci telekomunikacyjnej" 2018/2019</t>
  </si>
  <si>
    <t>Refundacja jęz. niemieckiego</t>
  </si>
  <si>
    <t>stan na 31.12.2018</t>
  </si>
  <si>
    <t>Stan na 31-12-2018</t>
  </si>
  <si>
    <t>153/2018</t>
  </si>
  <si>
    <t xml:space="preserve">Udział w szkoleniu pt.: "Zamknięcie ksiąg rachunkowych w roku 2018" </t>
  </si>
  <si>
    <t>150/2018</t>
  </si>
  <si>
    <t xml:space="preserve">Udział w X Forum Finansów Publicznych w Toruniu </t>
  </si>
  <si>
    <t>188/2018</t>
  </si>
  <si>
    <t>Wymiana opon z wyważaniem kół i ich zamontowaniem na samochodzie</t>
  </si>
  <si>
    <t>18-10-2018</t>
  </si>
  <si>
    <t>190/2018</t>
  </si>
  <si>
    <t xml:space="preserve">Dofinansowanie do III roku studiów doktoranckich </t>
  </si>
  <si>
    <t>Katolicki Uniwersytet Lubelski</t>
  </si>
  <si>
    <t>144/2018</t>
  </si>
  <si>
    <t>27-08-2018</t>
  </si>
  <si>
    <t xml:space="preserve">Wniosek o dofinansowanie studiów podyplomowych  pn.: Podyplomowe Studia Zamówień Publicznych </t>
  </si>
  <si>
    <t>Uniweesytet Warszawski</t>
  </si>
  <si>
    <t>189/2018</t>
  </si>
  <si>
    <t>Udział w kursie pn. "Kurs podstaw rachunkowości" pracownika CPPC</t>
  </si>
  <si>
    <t>197/2018</t>
  </si>
  <si>
    <t>07-11-2018</t>
  </si>
  <si>
    <t>160/2018</t>
  </si>
  <si>
    <t>27-09-2018</t>
  </si>
  <si>
    <t>198/2018</t>
  </si>
  <si>
    <t>14-11-2018</t>
  </si>
  <si>
    <t>Udział w szkoleniu "Zagrożenia wynikające z elektronicznej komunikacji - elektroniczny przetarg w praktyce"</t>
  </si>
  <si>
    <t>APEXnet Sp. z o.o. sp.k.</t>
  </si>
  <si>
    <t>155/2018</t>
  </si>
  <si>
    <t>203/2018</t>
  </si>
  <si>
    <t>Udzaił w szkoelniu pt. Leadership Development Intensive"</t>
  </si>
  <si>
    <t>RYODO Przemysław Gawroński</t>
  </si>
  <si>
    <t>208/2018</t>
  </si>
  <si>
    <t>04-12-2018</t>
  </si>
  <si>
    <t>Zakup urządzenia nadawczo-odbiorczego do komunikatów SMS</t>
  </si>
  <si>
    <t>Prime Technologies Jakub Michalak</t>
  </si>
  <si>
    <t>205/2018</t>
  </si>
  <si>
    <t>Kompleksowa organizacja Konferencji Centrum Projektów Polska Cyfrowa - podsumowanie efektów wdrażania I,II, III osi POPC</t>
  </si>
  <si>
    <t>22-11-2018</t>
  </si>
  <si>
    <t>"Teatr Kamienica"  Fundacja Wspierania Twórczych Inicjatyw Teatralnych ATUA i S-KA sp. k.</t>
  </si>
  <si>
    <t>204/2018</t>
  </si>
  <si>
    <t xml:space="preserve">Udział w szkoleniu - Język SQL i bazy danych dla analityków dla pracowników DS. </t>
  </si>
  <si>
    <t>19-11-2018</t>
  </si>
  <si>
    <t>ALX Sp. z o.o. Spółka komandytowa</t>
  </si>
  <si>
    <t>113/2018</t>
  </si>
  <si>
    <t>11-07-2018</t>
  </si>
  <si>
    <t>207/2018</t>
  </si>
  <si>
    <t>Udział w szkoleniu pn. "Elektronizacja w praktyce. Pułapki, zagrożenia, newralgiczne obszary w elektronicznej komunikacji. Jak prawidłowo przeprowadzić postępowanie po 18.10.2018r." w dniach 11-12 grudzia 2018r. w Warszawie</t>
  </si>
  <si>
    <t>03-12-2018</t>
  </si>
  <si>
    <t>Copy.Net.pl Piotr Sójka; Centrum Druku s.j. Adam Stachura, Mariola Stachura</t>
  </si>
  <si>
    <t>X-KOM sp. z o.o.; RAD-WIK Radosław Krupiński; AAT Holding s.a.; EURO-NET sp. z o.o.; PARTEX MARKING SYSTEMS sp. z o.o.; SPEC KABLE Monika Modelska</t>
  </si>
  <si>
    <t>136/2018</t>
  </si>
  <si>
    <t>Facebook</t>
  </si>
  <si>
    <t>Zakup usługi płatnej promocji postów CPPC w kanałach social media</t>
  </si>
  <si>
    <t>Nauka Języków Obcych Marzena Pawlak</t>
  </si>
  <si>
    <t>ELDOM Arkadiusz Gawełko</t>
  </si>
  <si>
    <t>Pi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</si>
</sst>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z_ł_-;\-* #,##0.00\ _z_ł_-;_-* &quot;-&quot;??\ _z_ł_-;_-@_-"/>
    <numFmt numFmtId="164" formatCode="#,##0.00\ &quot;zł&quot;"/>
  </numFmts>
  <fonts count="2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color theme="1"/>
      <name val="Trebuchet MS"/>
      <family val="2"/>
      <charset val="238"/>
    </font>
    <font>
      <sz val="9"/>
      <color theme="1"/>
      <name val="Trebuchet MS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13" fillId="0" borderId="0"/>
    <xf numFmtId="0" fontId="17" fillId="0" borderId="0"/>
    <xf numFmtId="0" fontId="17" fillId="0" borderId="0"/>
    <xf numFmtId="43" fontId="1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20" fillId="0" borderId="0"/>
    <xf numFmtId="0" fontId="17" fillId="0" borderId="0"/>
    <xf numFmtId="0" fontId="21" fillId="0" borderId="0"/>
    <xf numFmtId="0" fontId="20" fillId="0" borderId="0"/>
    <xf numFmtId="9" fontId="1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43" fontId="18" fillId="0" borderId="0" applyFont="0" applyFill="0" applyBorder="0" applyAlignment="0" applyProtection="0"/>
    <xf numFmtId="0" fontId="13" fillId="0" borderId="0"/>
    <xf numFmtId="0" fontId="13" fillId="0" borderId="0"/>
    <xf numFmtId="43" fontId="18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" fillId="0" borderId="0"/>
    <xf numFmtId="0" fontId="1" fillId="0" borderId="0"/>
  </cellStyleXfs>
  <cellXfs count="36">
    <xf numFmtId="0" fontId="0" fillId="0" borderId="0" xfId="0"/>
    <xf numFmtId="0" fontId="14" fillId="0" borderId="0" xfId="0" applyFont="1" applyAlignment="1">
      <alignment horizontal="center"/>
    </xf>
    <xf numFmtId="4" fontId="14" fillId="0" borderId="0" xfId="0" applyNumberFormat="1" applyFont="1"/>
    <xf numFmtId="0" fontId="14" fillId="0" borderId="0" xfId="0" applyFont="1" applyAlignment="1">
      <alignment vertical="center"/>
    </xf>
    <xf numFmtId="0" fontId="14" fillId="0" borderId="0" xfId="0" applyFont="1" applyFill="1"/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23" fillId="0" borderId="0" xfId="0" applyFont="1"/>
    <xf numFmtId="0" fontId="16" fillId="0" borderId="8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6" fillId="0" borderId="13" xfId="1" applyFont="1" applyFill="1" applyBorder="1" applyAlignment="1">
      <alignment horizontal="center" vertical="center" wrapText="1"/>
    </xf>
    <xf numFmtId="0" fontId="16" fillId="0" borderId="14" xfId="1" applyFont="1" applyFill="1" applyBorder="1" applyAlignment="1">
      <alignment horizontal="center" vertical="center" wrapText="1"/>
    </xf>
    <xf numFmtId="0" fontId="22" fillId="0" borderId="14" xfId="1" applyFont="1" applyFill="1" applyBorder="1" applyAlignment="1">
      <alignment horizontal="center" vertical="center" wrapText="1"/>
    </xf>
    <xf numFmtId="164" fontId="16" fillId="0" borderId="10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49" fontId="16" fillId="0" borderId="1" xfId="1" applyNumberFormat="1" applyFont="1" applyFill="1" applyBorder="1" applyAlignment="1">
      <alignment horizontal="center" vertical="center" wrapText="1"/>
    </xf>
    <xf numFmtId="164" fontId="16" fillId="0" borderId="6" xfId="0" applyNumberFormat="1" applyFont="1" applyFill="1" applyBorder="1" applyAlignment="1">
      <alignment vertical="center" wrapText="1"/>
    </xf>
    <xf numFmtId="0" fontId="16" fillId="0" borderId="1" xfId="16" applyFont="1" applyFill="1" applyBorder="1" applyAlignment="1">
      <alignment horizontal="left" vertical="center" wrapText="1"/>
    </xf>
    <xf numFmtId="164" fontId="16" fillId="0" borderId="12" xfId="0" applyNumberFormat="1" applyFont="1" applyFill="1" applyBorder="1" applyAlignment="1">
      <alignment vertical="center" wrapText="1"/>
    </xf>
    <xf numFmtId="0" fontId="16" fillId="0" borderId="11" xfId="16" applyFont="1" applyFill="1" applyBorder="1" applyAlignment="1">
      <alignment horizontal="left" vertical="center" wrapText="1"/>
    </xf>
    <xf numFmtId="0" fontId="15" fillId="0" borderId="7" xfId="0" applyFont="1" applyBorder="1" applyAlignment="1"/>
    <xf numFmtId="4" fontId="22" fillId="0" borderId="14" xfId="1" applyNumberFormat="1" applyFont="1" applyFill="1" applyBorder="1" applyAlignment="1">
      <alignment horizontal="center" vertical="center" wrapText="1"/>
    </xf>
    <xf numFmtId="0" fontId="16" fillId="0" borderId="1" xfId="16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6" fillId="0" borderId="1" xfId="16" applyFont="1" applyFill="1" applyBorder="1" applyAlignment="1">
      <alignment horizontal="left" wrapText="1"/>
    </xf>
    <xf numFmtId="0" fontId="14" fillId="0" borderId="0" xfId="0" applyFont="1" applyAlignment="1">
      <alignment horizontal="center"/>
    </xf>
    <xf numFmtId="0" fontId="15" fillId="0" borderId="7" xfId="0" applyFont="1" applyBorder="1" applyAlignment="1">
      <alignment horizontal="center"/>
    </xf>
  </cellXfs>
  <cellStyles count="44">
    <cellStyle name="Dziesiętny 2" xfId="4"/>
    <cellStyle name="Dziesiętny 2 2" xfId="17"/>
    <cellStyle name="Dziesiętny 2 2 2" xfId="35"/>
    <cellStyle name="Dziesiętny 2 2 3" xfId="38"/>
    <cellStyle name="Dziesiętny 2 2 4" xfId="32"/>
    <cellStyle name="Dziesiętny 2 3" xfId="20"/>
    <cellStyle name="Dziesiętny 2 3 2" xfId="36"/>
    <cellStyle name="Dziesiętny 2 3 3" xfId="39"/>
    <cellStyle name="Dziesiętny 2 3 4" xfId="33"/>
    <cellStyle name="Dziesiętny 2 4" xfId="34"/>
    <cellStyle name="Dziesiętny 2 5" xfId="37"/>
    <cellStyle name="Dziesiętny 2 6" xfId="40"/>
    <cellStyle name="Dziesiętny 2 7" xfId="31"/>
    <cellStyle name="Dziesiętny 3" xfId="41"/>
    <cellStyle name="Normalny" xfId="0" builtinId="0"/>
    <cellStyle name="Normalny 10" xfId="21"/>
    <cellStyle name="Normalny 11" xfId="22"/>
    <cellStyle name="Normalny 12" xfId="23"/>
    <cellStyle name="Normalny 13" xfId="24"/>
    <cellStyle name="Normalny 14" xfId="25"/>
    <cellStyle name="Normalny 15" xfId="26"/>
    <cellStyle name="Normalny 16" xfId="27"/>
    <cellStyle name="Normalny 17" xfId="28"/>
    <cellStyle name="Normalny 18" xfId="29"/>
    <cellStyle name="Normalny 19" xfId="30"/>
    <cellStyle name="Normalny 2" xfId="3"/>
    <cellStyle name="Normalny 2 2" xfId="5"/>
    <cellStyle name="Normalny 20" xfId="42"/>
    <cellStyle name="Normalny 21" xfId="43"/>
    <cellStyle name="Normalny 3" xfId="1"/>
    <cellStyle name="Normalny 3 2" xfId="6"/>
    <cellStyle name="Normalny 3 3" xfId="16"/>
    <cellStyle name="Normalny 3_Osoby Prawne - ZBIORCZO (2)" xfId="7"/>
    <cellStyle name="Normalny 4" xfId="8"/>
    <cellStyle name="Normalny 4 2" xfId="9"/>
    <cellStyle name="Normalny 4 3" xfId="10"/>
    <cellStyle name="Normalny 5" xfId="11"/>
    <cellStyle name="Normalny 6" xfId="13"/>
    <cellStyle name="Normalny 6 2" xfId="18"/>
    <cellStyle name="Normalny 7" xfId="14"/>
    <cellStyle name="Normalny 7 2" xfId="19"/>
    <cellStyle name="Normalny 8" xfId="15"/>
    <cellStyle name="Normalny 9" xfId="2"/>
    <cellStyle name="Procentowy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0</xdr:row>
      <xdr:rowOff>304800</xdr:rowOff>
    </xdr:from>
    <xdr:to>
      <xdr:col>4</xdr:col>
      <xdr:colOff>3588385</xdr:colOff>
      <xdr:row>0</xdr:row>
      <xdr:rowOff>1047750</xdr:rowOff>
    </xdr:to>
    <xdr:grpSp>
      <xdr:nvGrpSpPr>
        <xdr:cNvPr id="8" name="Grupa 7"/>
        <xdr:cNvGrpSpPr/>
      </xdr:nvGrpSpPr>
      <xdr:grpSpPr>
        <a:xfrm>
          <a:off x="1638300" y="304800"/>
          <a:ext cx="6503035" cy="742950"/>
          <a:chOff x="0" y="0"/>
          <a:chExt cx="6503035" cy="742950"/>
        </a:xfrm>
      </xdr:grpSpPr>
      <xdr:pic>
        <xdr:nvPicPr>
          <xdr:cNvPr id="9" name="Obraz 8" descr="CPPC_A.jpg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253740" y="7620"/>
            <a:ext cx="1356360" cy="735330"/>
          </a:xfrm>
          <a:prstGeom prst="rect">
            <a:avLst/>
          </a:prstGeom>
        </xdr:spPr>
      </xdr:pic>
      <xdr:pic>
        <xdr:nvPicPr>
          <xdr:cNvPr id="10" name="Obraz 9" descr="UE_EFRR_rgb-1.jp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739640" y="76200"/>
            <a:ext cx="1763395" cy="572135"/>
          </a:xfrm>
          <a:prstGeom prst="rect">
            <a:avLst/>
          </a:prstGeom>
        </xdr:spPr>
      </xdr:pic>
      <xdr:pic>
        <xdr:nvPicPr>
          <xdr:cNvPr id="11" name="Obraz 10" descr="C:\Users\APOPLA~1\AppData\Local\Temp\Rar$DIa0.030\znak_barw_rp_poziom_szara_ramka_rgb.jpg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4460" y="91440"/>
            <a:ext cx="1714500" cy="5715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Obraz 11" descr="logo_FE_Polska_Cyfrowa_rgb-1.jpg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0" y="0"/>
            <a:ext cx="1231265" cy="69532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90"/>
  <sheetViews>
    <sheetView tabSelected="1" topLeftCell="A103" zoomScaleNormal="100" workbookViewId="0">
      <selection activeCell="D125" sqref="D125"/>
    </sheetView>
  </sheetViews>
  <sheetFormatPr defaultRowHeight="16.5"/>
  <cols>
    <col min="1" max="1" width="6.125" style="12" customWidth="1"/>
    <col min="2" max="2" width="11.75" style="12" customWidth="1"/>
    <col min="3" max="3" width="28" style="12" customWidth="1"/>
    <col min="4" max="4" width="13.875" style="1" customWidth="1"/>
    <col min="5" max="5" width="53.125" style="12" customWidth="1"/>
    <col min="6" max="6" width="19.875" style="2" customWidth="1"/>
    <col min="7" max="7" width="10.25" style="12" bestFit="1" customWidth="1"/>
    <col min="8" max="16384" width="9" style="12"/>
  </cols>
  <sheetData>
    <row r="1" spans="1:60" ht="108" customHeight="1">
      <c r="A1" s="34"/>
      <c r="B1" s="34"/>
      <c r="C1" s="34"/>
      <c r="D1" s="34"/>
      <c r="E1" s="34"/>
      <c r="F1" s="34"/>
    </row>
    <row r="2" spans="1:60" ht="25.5" customHeight="1" thickBot="1">
      <c r="A2" s="35" t="s">
        <v>26</v>
      </c>
      <c r="B2" s="35"/>
      <c r="C2" s="35"/>
      <c r="D2" s="35"/>
      <c r="E2" s="35"/>
      <c r="F2" s="29" t="s">
        <v>355</v>
      </c>
    </row>
    <row r="3" spans="1:60" s="3" customFormat="1" ht="67.5" customHeight="1">
      <c r="A3" s="5" t="s">
        <v>4</v>
      </c>
      <c r="B3" s="6" t="s">
        <v>3</v>
      </c>
      <c r="C3" s="9" t="s">
        <v>0</v>
      </c>
      <c r="D3" s="10" t="s">
        <v>2</v>
      </c>
      <c r="E3" s="9" t="s">
        <v>1</v>
      </c>
      <c r="F3" s="11" t="s">
        <v>5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1:60" s="23" customFormat="1">
      <c r="A4" s="14">
        <v>1</v>
      </c>
      <c r="B4" s="15" t="s">
        <v>6</v>
      </c>
      <c r="C4" s="16" t="s">
        <v>7</v>
      </c>
      <c r="D4" s="15" t="s">
        <v>8</v>
      </c>
      <c r="E4" s="16" t="s">
        <v>14</v>
      </c>
      <c r="F4" s="22">
        <v>396.35</v>
      </c>
    </row>
    <row r="5" spans="1:60" s="23" customFormat="1">
      <c r="A5" s="7">
        <v>2</v>
      </c>
      <c r="B5" s="8" t="s">
        <v>11</v>
      </c>
      <c r="C5" s="17" t="s">
        <v>12</v>
      </c>
      <c r="D5" s="24" t="s">
        <v>8</v>
      </c>
      <c r="E5" s="17" t="s">
        <v>21</v>
      </c>
      <c r="F5" s="25">
        <v>153.75</v>
      </c>
    </row>
    <row r="6" spans="1:60" s="23" customFormat="1" ht="30">
      <c r="A6" s="14">
        <v>3</v>
      </c>
      <c r="B6" s="8" t="s">
        <v>6</v>
      </c>
      <c r="C6" s="17" t="s">
        <v>67</v>
      </c>
      <c r="D6" s="24" t="s">
        <v>8</v>
      </c>
      <c r="E6" s="17" t="s">
        <v>68</v>
      </c>
      <c r="F6" s="25">
        <f>184.5+184.5</f>
        <v>369</v>
      </c>
    </row>
    <row r="7" spans="1:60" s="23" customFormat="1" ht="30">
      <c r="A7" s="14">
        <v>4</v>
      </c>
      <c r="B7" s="8" t="s">
        <v>6</v>
      </c>
      <c r="C7" s="17" t="s">
        <v>138</v>
      </c>
      <c r="D7" s="24" t="s">
        <v>8</v>
      </c>
      <c r="E7" s="17" t="s">
        <v>326</v>
      </c>
      <c r="F7" s="25">
        <v>1845</v>
      </c>
    </row>
    <row r="8" spans="1:60" s="23" customFormat="1">
      <c r="A8" s="7">
        <v>5</v>
      </c>
      <c r="B8" s="8" t="s">
        <v>146</v>
      </c>
      <c r="C8" s="17" t="s">
        <v>147</v>
      </c>
      <c r="D8" s="24" t="s">
        <v>8</v>
      </c>
      <c r="E8" s="17" t="s">
        <v>145</v>
      </c>
      <c r="F8" s="25">
        <v>260.26</v>
      </c>
    </row>
    <row r="9" spans="1:60" s="23" customFormat="1" ht="45">
      <c r="A9" s="14">
        <v>6</v>
      </c>
      <c r="B9" s="8" t="s">
        <v>153</v>
      </c>
      <c r="C9" s="26" t="s">
        <v>152</v>
      </c>
      <c r="D9" s="8" t="s">
        <v>8</v>
      </c>
      <c r="E9" s="31" t="s">
        <v>155</v>
      </c>
      <c r="F9" s="27">
        <v>4009</v>
      </c>
    </row>
    <row r="10" spans="1:60" s="23" customFormat="1" ht="30">
      <c r="A10" s="14">
        <v>7</v>
      </c>
      <c r="B10" s="8" t="s">
        <v>15</v>
      </c>
      <c r="C10" s="17" t="s">
        <v>13</v>
      </c>
      <c r="D10" s="8" t="s">
        <v>16</v>
      </c>
      <c r="E10" s="17" t="s">
        <v>327</v>
      </c>
      <c r="F10" s="25">
        <f>5425+1967.64+357.36</f>
        <v>7750</v>
      </c>
    </row>
    <row r="11" spans="1:60" s="23" customFormat="1" ht="30">
      <c r="A11" s="7">
        <v>8</v>
      </c>
      <c r="B11" s="8" t="s">
        <v>160</v>
      </c>
      <c r="C11" s="17" t="s">
        <v>184</v>
      </c>
      <c r="D11" s="8" t="s">
        <v>161</v>
      </c>
      <c r="E11" s="17" t="s">
        <v>162</v>
      </c>
      <c r="F11" s="25">
        <f>1861.86+338.14</f>
        <v>2200</v>
      </c>
    </row>
    <row r="12" spans="1:60" s="23" customFormat="1" ht="30">
      <c r="A12" s="14">
        <v>9</v>
      </c>
      <c r="B12" s="8" t="s">
        <v>17</v>
      </c>
      <c r="C12" s="17" t="s">
        <v>18</v>
      </c>
      <c r="D12" s="8" t="s">
        <v>19</v>
      </c>
      <c r="E12" s="17" t="s">
        <v>20</v>
      </c>
      <c r="F12" s="25">
        <f>1680+609.33+110.67</f>
        <v>2400</v>
      </c>
    </row>
    <row r="13" spans="1:60" s="23" customFormat="1" ht="90">
      <c r="A13" s="14">
        <v>10</v>
      </c>
      <c r="B13" s="8" t="s">
        <v>22</v>
      </c>
      <c r="C13" s="26" t="s">
        <v>150</v>
      </c>
      <c r="D13" s="8" t="s">
        <v>24</v>
      </c>
      <c r="E13" s="31" t="s">
        <v>25</v>
      </c>
      <c r="F13" s="25">
        <f>775.89+3870+775.69+439.12+31.84+104.88+136.84+255.1+44.3+154.23+198.4+439.12+2112+130.03+82.67+23.88+229.92+96.19+219.61+2112+439.12 +66.34+313.19+29.29+2112+138.6+175.4+291.74+32.35+87.48+109.69+2160+216.6+98.12+90.34+333+48.5+290.9+163.94+531.72</f>
        <v>19960.030000000002</v>
      </c>
    </row>
    <row r="14" spans="1:60" s="23" customFormat="1" ht="105">
      <c r="A14" s="7">
        <v>11</v>
      </c>
      <c r="B14" s="8" t="s">
        <v>80</v>
      </c>
      <c r="C14" s="26" t="s">
        <v>273</v>
      </c>
      <c r="D14" s="8" t="s">
        <v>24</v>
      </c>
      <c r="E14" s="31" t="s">
        <v>81</v>
      </c>
      <c r="F14" s="25">
        <f>336.3+66.75+439.47+543.15+134.1+280.95+155.75</f>
        <v>1956.47</v>
      </c>
    </row>
    <row r="15" spans="1:60" s="23" customFormat="1" ht="45">
      <c r="A15" s="14">
        <v>12</v>
      </c>
      <c r="B15" s="8" t="s">
        <v>23</v>
      </c>
      <c r="C15" s="17" t="s">
        <v>10</v>
      </c>
      <c r="D15" s="8" t="s">
        <v>24</v>
      </c>
      <c r="E15" s="17" t="s">
        <v>328</v>
      </c>
      <c r="F15" s="25">
        <f>16+116+10+15.2+19.28+3.51+64.3+11.68+48.23+8.77+203.95+37.05+19.29+3.51+15.2+77.01+13.99+24+96.47+17.53+22.8+45.02+8.18+24.11+4.39+41.63+7.57+15.2+19.29+3.51+126.94+23.06-57+72.35+13.15+168.83+30.67+72.35+13.15+133.71+24.29+24.11+4.39+24.11+4.39</f>
        <v>1691.1699999999998</v>
      </c>
    </row>
    <row r="16" spans="1:60" s="23" customFormat="1" ht="30">
      <c r="A16" s="14">
        <v>13</v>
      </c>
      <c r="B16" s="18" t="s">
        <v>91</v>
      </c>
      <c r="C16" s="17" t="s">
        <v>92</v>
      </c>
      <c r="D16" s="18" t="s">
        <v>93</v>
      </c>
      <c r="E16" s="17" t="s">
        <v>94</v>
      </c>
      <c r="F16" s="27">
        <f>1100</f>
        <v>1100</v>
      </c>
    </row>
    <row r="17" spans="1:6" s="23" customFormat="1" ht="45">
      <c r="A17" s="7">
        <v>14</v>
      </c>
      <c r="B17" s="18" t="s">
        <v>107</v>
      </c>
      <c r="C17" s="17" t="s">
        <v>109</v>
      </c>
      <c r="D17" s="18" t="s">
        <v>108</v>
      </c>
      <c r="E17" s="17" t="s">
        <v>329</v>
      </c>
      <c r="F17" s="27">
        <f>4163.79+756.21</f>
        <v>4920</v>
      </c>
    </row>
    <row r="18" spans="1:6" s="23" customFormat="1" ht="30">
      <c r="A18" s="14">
        <v>15</v>
      </c>
      <c r="B18" s="18" t="s">
        <v>41</v>
      </c>
      <c r="C18" s="17" t="s">
        <v>48</v>
      </c>
      <c r="D18" s="18" t="s">
        <v>50</v>
      </c>
      <c r="E18" s="17" t="s">
        <v>49</v>
      </c>
      <c r="F18" s="27">
        <f>880.15+159.85</f>
        <v>1040</v>
      </c>
    </row>
    <row r="19" spans="1:6" s="23" customFormat="1" ht="135">
      <c r="A19" s="14">
        <v>16</v>
      </c>
      <c r="B19" s="18" t="s">
        <v>27</v>
      </c>
      <c r="C19" s="26" t="s">
        <v>226</v>
      </c>
      <c r="D19" s="18" t="s">
        <v>28</v>
      </c>
      <c r="E19" s="31" t="s">
        <v>29</v>
      </c>
      <c r="F19" s="27">
        <f>145.63+69.94+69.94+91.97+36.89+164.68+36.75+94.1+436+286+199.95+75+345.9+94.95+119+13.47+38.98+12.98+53.56+108+469.74+288.1+34.99+161.96+28.66+29.99+11.04+192.14+44.85</f>
        <v>3755.1599999999985</v>
      </c>
    </row>
    <row r="20" spans="1:6" s="23" customFormat="1" ht="30">
      <c r="A20" s="7">
        <v>17</v>
      </c>
      <c r="B20" s="18" t="s">
        <v>42</v>
      </c>
      <c r="C20" s="26" t="s">
        <v>51</v>
      </c>
      <c r="D20" s="18" t="s">
        <v>52</v>
      </c>
      <c r="E20" s="31" t="s">
        <v>64</v>
      </c>
      <c r="F20" s="27">
        <f>473.92+86.08</f>
        <v>560</v>
      </c>
    </row>
    <row r="21" spans="1:6" s="23" customFormat="1" ht="45">
      <c r="A21" s="14">
        <v>18</v>
      </c>
      <c r="B21" s="18" t="s">
        <v>40</v>
      </c>
      <c r="C21" s="26" t="s">
        <v>53</v>
      </c>
      <c r="D21" s="18" t="s">
        <v>31</v>
      </c>
      <c r="E21" s="31" t="s">
        <v>65</v>
      </c>
      <c r="F21" s="27">
        <f>501.84</f>
        <v>501.84</v>
      </c>
    </row>
    <row r="22" spans="1:6" s="23" customFormat="1" ht="45">
      <c r="A22" s="14">
        <v>19</v>
      </c>
      <c r="B22" s="18" t="s">
        <v>30</v>
      </c>
      <c r="C22" s="26" t="s">
        <v>33</v>
      </c>
      <c r="D22" s="18" t="s">
        <v>31</v>
      </c>
      <c r="E22" s="31" t="s">
        <v>32</v>
      </c>
      <c r="F22" s="27">
        <f>265.44+6286.79+1141.77</f>
        <v>7694</v>
      </c>
    </row>
    <row r="23" spans="1:6" s="23" customFormat="1">
      <c r="A23" s="7">
        <v>20</v>
      </c>
      <c r="B23" s="18" t="s">
        <v>34</v>
      </c>
      <c r="C23" s="26" t="s">
        <v>35</v>
      </c>
      <c r="D23" s="18" t="s">
        <v>31</v>
      </c>
      <c r="E23" s="31" t="s">
        <v>39</v>
      </c>
      <c r="F23" s="27">
        <f>88+111.71+20.29</f>
        <v>219.99999999999997</v>
      </c>
    </row>
    <row r="24" spans="1:6" s="23" customFormat="1">
      <c r="A24" s="14">
        <v>21</v>
      </c>
      <c r="B24" s="18" t="s">
        <v>127</v>
      </c>
      <c r="C24" s="26" t="s">
        <v>128</v>
      </c>
      <c r="D24" s="18" t="s">
        <v>56</v>
      </c>
      <c r="E24" s="31" t="s">
        <v>330</v>
      </c>
      <c r="F24" s="27">
        <f>220.32</f>
        <v>220.32</v>
      </c>
    </row>
    <row r="25" spans="1:6" s="23" customFormat="1" ht="45">
      <c r="A25" s="14">
        <v>22</v>
      </c>
      <c r="B25" s="18" t="s">
        <v>47</v>
      </c>
      <c r="C25" s="26" t="s">
        <v>55</v>
      </c>
      <c r="D25" s="18" t="s">
        <v>56</v>
      </c>
      <c r="E25" s="31" t="s">
        <v>54</v>
      </c>
      <c r="F25" s="27">
        <f>330.05+59.95</f>
        <v>390</v>
      </c>
    </row>
    <row r="26" spans="1:6" s="23" customFormat="1" ht="45">
      <c r="A26" s="7">
        <v>23</v>
      </c>
      <c r="B26" s="18" t="s">
        <v>43</v>
      </c>
      <c r="C26" s="26" t="s">
        <v>58</v>
      </c>
      <c r="D26" s="18" t="s">
        <v>56</v>
      </c>
      <c r="E26" s="31" t="s">
        <v>57</v>
      </c>
      <c r="F26" s="27">
        <f>128</f>
        <v>128</v>
      </c>
    </row>
    <row r="27" spans="1:6" s="23" customFormat="1" ht="90">
      <c r="A27" s="14">
        <v>24</v>
      </c>
      <c r="B27" s="18" t="s">
        <v>36</v>
      </c>
      <c r="C27" s="26" t="s">
        <v>144</v>
      </c>
      <c r="D27" s="18" t="s">
        <v>37</v>
      </c>
      <c r="E27" s="31" t="s">
        <v>38</v>
      </c>
      <c r="F27" s="27">
        <f>160.01+146.8+60.27+277.13+216.48+510.27+39.96+216.27+30.61+35.7+86+9.49</f>
        <v>1788.99</v>
      </c>
    </row>
    <row r="28" spans="1:6" s="23" customFormat="1" ht="30">
      <c r="A28" s="14">
        <v>25</v>
      </c>
      <c r="B28" s="18" t="s">
        <v>44</v>
      </c>
      <c r="C28" s="26" t="s">
        <v>60</v>
      </c>
      <c r="D28" s="18" t="s">
        <v>59</v>
      </c>
      <c r="E28" s="31" t="s">
        <v>331</v>
      </c>
      <c r="F28" s="27">
        <f>1523.34+276.66</f>
        <v>1800</v>
      </c>
    </row>
    <row r="29" spans="1:6" s="23" customFormat="1">
      <c r="A29" s="7">
        <v>26</v>
      </c>
      <c r="B29" s="18" t="s">
        <v>45</v>
      </c>
      <c r="C29" s="26" t="s">
        <v>63</v>
      </c>
      <c r="D29" s="18" t="s">
        <v>62</v>
      </c>
      <c r="E29" s="31" t="s">
        <v>61</v>
      </c>
      <c r="F29" s="27">
        <f>161.28</f>
        <v>161.28</v>
      </c>
    </row>
    <row r="30" spans="1:6" s="23" customFormat="1" ht="45">
      <c r="A30" s="14">
        <v>27</v>
      </c>
      <c r="B30" s="18" t="s">
        <v>46</v>
      </c>
      <c r="C30" s="26" t="s">
        <v>63</v>
      </c>
      <c r="D30" s="18" t="s">
        <v>62</v>
      </c>
      <c r="E30" s="31" t="s">
        <v>66</v>
      </c>
      <c r="F30" s="27">
        <f>1491.34+270.86</f>
        <v>1762.1999999999998</v>
      </c>
    </row>
    <row r="31" spans="1:6" s="23" customFormat="1" ht="30">
      <c r="A31" s="14">
        <v>28</v>
      </c>
      <c r="B31" s="18" t="s">
        <v>95</v>
      </c>
      <c r="C31" s="26" t="s">
        <v>96</v>
      </c>
      <c r="D31" s="18" t="s">
        <v>97</v>
      </c>
      <c r="E31" s="31" t="s">
        <v>98</v>
      </c>
      <c r="F31" s="27">
        <f>2337</f>
        <v>2337</v>
      </c>
    </row>
    <row r="32" spans="1:6" s="23" customFormat="1" ht="30">
      <c r="A32" s="7">
        <v>29</v>
      </c>
      <c r="B32" s="18" t="s">
        <v>110</v>
      </c>
      <c r="C32" s="26" t="s">
        <v>77</v>
      </c>
      <c r="D32" s="18" t="s">
        <v>111</v>
      </c>
      <c r="E32" s="31" t="s">
        <v>112</v>
      </c>
      <c r="F32" s="27">
        <f>169.26+30.74+5162.43+937.57</f>
        <v>6300</v>
      </c>
    </row>
    <row r="33" spans="1:6" s="23" customFormat="1">
      <c r="A33" s="14">
        <v>30</v>
      </c>
      <c r="B33" s="18" t="s">
        <v>74</v>
      </c>
      <c r="C33" s="26" t="s">
        <v>72</v>
      </c>
      <c r="D33" s="18" t="s">
        <v>75</v>
      </c>
      <c r="E33" s="31" t="s">
        <v>73</v>
      </c>
      <c r="F33" s="27">
        <f>888.61+161.39</f>
        <v>1050</v>
      </c>
    </row>
    <row r="34" spans="1:6" s="23" customFormat="1" ht="30">
      <c r="A34" s="14">
        <v>31</v>
      </c>
      <c r="B34" s="18" t="s">
        <v>121</v>
      </c>
      <c r="C34" s="26" t="s">
        <v>58</v>
      </c>
      <c r="D34" s="18" t="s">
        <v>83</v>
      </c>
      <c r="E34" s="31" t="s">
        <v>122</v>
      </c>
      <c r="F34" s="27">
        <f>3182.08+577.92</f>
        <v>3760</v>
      </c>
    </row>
    <row r="35" spans="1:6" s="23" customFormat="1" ht="150">
      <c r="A35" s="7">
        <v>32</v>
      </c>
      <c r="B35" s="18" t="s">
        <v>82</v>
      </c>
      <c r="C35" s="26" t="s">
        <v>85</v>
      </c>
      <c r="D35" s="18" t="s">
        <v>83</v>
      </c>
      <c r="E35" s="31" t="s">
        <v>84</v>
      </c>
      <c r="F35" s="27">
        <f>2460</f>
        <v>2460</v>
      </c>
    </row>
    <row r="36" spans="1:6" s="23" customFormat="1" ht="135">
      <c r="A36" s="14">
        <v>33</v>
      </c>
      <c r="B36" s="18" t="s">
        <v>99</v>
      </c>
      <c r="C36" s="26" t="s">
        <v>192</v>
      </c>
      <c r="D36" s="18" t="s">
        <v>100</v>
      </c>
      <c r="E36" s="31" t="s">
        <v>101</v>
      </c>
      <c r="F36" s="27">
        <f>84.63+15.37+20.27+3.69+253.89+46.11+277.41+50.39+17.77+3.23+57.31+10.41+5.5+1+265.21+48.17+30.04+5.46+126.94+23.06+253.87+46.11+237.31+43.1+93.68+17.02+270.81+49.19</f>
        <v>2356.9499999999998</v>
      </c>
    </row>
    <row r="37" spans="1:6" s="23" customFormat="1" ht="60">
      <c r="A37" s="14">
        <v>34</v>
      </c>
      <c r="B37" s="18" t="s">
        <v>88</v>
      </c>
      <c r="C37" s="26" t="s">
        <v>89</v>
      </c>
      <c r="D37" s="18" t="s">
        <v>90</v>
      </c>
      <c r="E37" s="31" t="s">
        <v>332</v>
      </c>
      <c r="F37" s="27">
        <f>363.29+65.98</f>
        <v>429.27000000000004</v>
      </c>
    </row>
    <row r="38" spans="1:6" s="23" customFormat="1">
      <c r="A38" s="7">
        <v>35</v>
      </c>
      <c r="B38" s="18" t="s">
        <v>69</v>
      </c>
      <c r="C38" s="26" t="s">
        <v>72</v>
      </c>
      <c r="D38" s="18" t="s">
        <v>70</v>
      </c>
      <c r="E38" s="16" t="s">
        <v>73</v>
      </c>
      <c r="F38" s="27">
        <f>888.61+161.39</f>
        <v>1050</v>
      </c>
    </row>
    <row r="39" spans="1:6" s="23" customFormat="1" ht="30">
      <c r="A39" s="14">
        <v>36</v>
      </c>
      <c r="B39" s="18" t="s">
        <v>102</v>
      </c>
      <c r="C39" s="26" t="s">
        <v>103</v>
      </c>
      <c r="D39" s="18" t="s">
        <v>71</v>
      </c>
      <c r="E39" s="17" t="s">
        <v>333</v>
      </c>
      <c r="F39" s="27">
        <f>6.14+145.35+26.4</f>
        <v>177.89</v>
      </c>
    </row>
    <row r="40" spans="1:6" s="23" customFormat="1">
      <c r="A40" s="14">
        <v>37</v>
      </c>
      <c r="B40" s="18" t="s">
        <v>86</v>
      </c>
      <c r="C40" s="26" t="s">
        <v>60</v>
      </c>
      <c r="D40" s="18" t="s">
        <v>87</v>
      </c>
      <c r="E40" s="17" t="s">
        <v>334</v>
      </c>
      <c r="F40" s="27">
        <f>186.18+33.82</f>
        <v>220</v>
      </c>
    </row>
    <row r="41" spans="1:6" s="23" customFormat="1">
      <c r="A41" s="7">
        <v>38</v>
      </c>
      <c r="B41" s="18" t="s">
        <v>215</v>
      </c>
      <c r="C41" s="31" t="s">
        <v>217</v>
      </c>
      <c r="D41" s="18" t="s">
        <v>216</v>
      </c>
      <c r="E41" s="17" t="s">
        <v>335</v>
      </c>
      <c r="F41" s="27">
        <f>2285.01+414.99</f>
        <v>2700</v>
      </c>
    </row>
    <row r="42" spans="1:6" s="23" customFormat="1">
      <c r="A42" s="14">
        <v>39</v>
      </c>
      <c r="B42" s="18" t="s">
        <v>164</v>
      </c>
      <c r="C42" s="26" t="s">
        <v>185</v>
      </c>
      <c r="D42" s="18" t="s">
        <v>163</v>
      </c>
      <c r="E42" s="17" t="s">
        <v>336</v>
      </c>
      <c r="F42" s="27">
        <f>2538.9+461.1</f>
        <v>3000</v>
      </c>
    </row>
    <row r="43" spans="1:6" s="23" customFormat="1">
      <c r="A43" s="14">
        <v>40</v>
      </c>
      <c r="B43" s="18" t="s">
        <v>205</v>
      </c>
      <c r="C43" s="31" t="s">
        <v>206</v>
      </c>
      <c r="D43" s="18" t="s">
        <v>163</v>
      </c>
      <c r="E43" s="31" t="s">
        <v>207</v>
      </c>
      <c r="F43" s="27">
        <f>2538.9+461.1</f>
        <v>3000</v>
      </c>
    </row>
    <row r="44" spans="1:6" s="23" customFormat="1" ht="30">
      <c r="A44" s="7">
        <v>41</v>
      </c>
      <c r="B44" s="18" t="s">
        <v>104</v>
      </c>
      <c r="C44" s="26" t="s">
        <v>106</v>
      </c>
      <c r="D44" s="18" t="s">
        <v>105</v>
      </c>
      <c r="E44" s="17" t="s">
        <v>337</v>
      </c>
      <c r="F44" s="27">
        <f>2066.4</f>
        <v>2066.4</v>
      </c>
    </row>
    <row r="45" spans="1:6" s="23" customFormat="1" ht="30">
      <c r="A45" s="14">
        <v>42</v>
      </c>
      <c r="B45" s="18" t="s">
        <v>116</v>
      </c>
      <c r="C45" s="26" t="s">
        <v>58</v>
      </c>
      <c r="D45" s="18" t="s">
        <v>117</v>
      </c>
      <c r="E45" s="17" t="s">
        <v>118</v>
      </c>
      <c r="F45" s="27">
        <f>1421.78+258.22</f>
        <v>1680</v>
      </c>
    </row>
    <row r="46" spans="1:6" s="23" customFormat="1" ht="30">
      <c r="A46" s="14">
        <v>43</v>
      </c>
      <c r="B46" s="18" t="s">
        <v>76</v>
      </c>
      <c r="C46" s="26" t="s">
        <v>77</v>
      </c>
      <c r="D46" s="18" t="s">
        <v>78</v>
      </c>
      <c r="E46" s="17" t="s">
        <v>79</v>
      </c>
      <c r="F46" s="27">
        <f>2708.16+491.84</f>
        <v>3200</v>
      </c>
    </row>
    <row r="47" spans="1:6" s="23" customFormat="1" ht="30">
      <c r="A47" s="7">
        <v>44</v>
      </c>
      <c r="B47" s="18" t="s">
        <v>306</v>
      </c>
      <c r="C47" s="31" t="s">
        <v>309</v>
      </c>
      <c r="D47" s="18" t="s">
        <v>307</v>
      </c>
      <c r="E47" s="31" t="s">
        <v>308</v>
      </c>
      <c r="F47" s="27">
        <f>4231.5+768.5+2538.9+461.1</f>
        <v>8000</v>
      </c>
    </row>
    <row r="48" spans="1:6" s="23" customFormat="1" ht="30">
      <c r="A48" s="14">
        <v>45</v>
      </c>
      <c r="B48" s="18" t="s">
        <v>124</v>
      </c>
      <c r="C48" s="26" t="s">
        <v>126</v>
      </c>
      <c r="D48" s="18" t="s">
        <v>125</v>
      </c>
      <c r="E48" s="31" t="s">
        <v>123</v>
      </c>
      <c r="F48" s="27">
        <f>98+1</f>
        <v>99</v>
      </c>
    </row>
    <row r="49" spans="1:6" s="23" customFormat="1" ht="30">
      <c r="A49" s="14">
        <v>46</v>
      </c>
      <c r="B49" s="18" t="s">
        <v>119</v>
      </c>
      <c r="C49" s="26" t="s">
        <v>58</v>
      </c>
      <c r="D49" s="18" t="s">
        <v>120</v>
      </c>
      <c r="E49" s="17" t="s">
        <v>338</v>
      </c>
      <c r="F49" s="27">
        <f>372.37+67.63</f>
        <v>440</v>
      </c>
    </row>
    <row r="50" spans="1:6" s="23" customFormat="1" ht="45">
      <c r="A50" s="7">
        <v>47</v>
      </c>
      <c r="B50" s="18" t="s">
        <v>114</v>
      </c>
      <c r="C50" s="28" t="s">
        <v>115</v>
      </c>
      <c r="D50" s="18" t="s">
        <v>113</v>
      </c>
      <c r="E50" s="17" t="s">
        <v>336</v>
      </c>
      <c r="F50" s="27">
        <f>2530.43+459.57</f>
        <v>2990</v>
      </c>
    </row>
    <row r="51" spans="1:6" s="23" customFormat="1">
      <c r="A51" s="14">
        <v>48</v>
      </c>
      <c r="B51" s="18" t="s">
        <v>166</v>
      </c>
      <c r="C51" s="28" t="s">
        <v>183</v>
      </c>
      <c r="D51" s="18" t="s">
        <v>165</v>
      </c>
      <c r="E51" s="17" t="s">
        <v>336</v>
      </c>
      <c r="F51" s="27">
        <f>2335.78+424.22</f>
        <v>2760</v>
      </c>
    </row>
    <row r="52" spans="1:6" s="23" customFormat="1" ht="30">
      <c r="A52" s="14">
        <v>49</v>
      </c>
      <c r="B52" s="8" t="s">
        <v>129</v>
      </c>
      <c r="C52" s="26" t="s">
        <v>35</v>
      </c>
      <c r="D52" s="8" t="s">
        <v>130</v>
      </c>
      <c r="E52" s="17" t="s">
        <v>339</v>
      </c>
      <c r="F52" s="27">
        <v>640</v>
      </c>
    </row>
    <row r="53" spans="1:6" s="23" customFormat="1" ht="30">
      <c r="A53" s="7">
        <v>50</v>
      </c>
      <c r="B53" s="8" t="s">
        <v>131</v>
      </c>
      <c r="C53" s="26" t="s">
        <v>134</v>
      </c>
      <c r="D53" s="8" t="s">
        <v>133</v>
      </c>
      <c r="E53" s="31" t="s">
        <v>132</v>
      </c>
      <c r="F53" s="27">
        <f>1497.95+272.05</f>
        <v>1770</v>
      </c>
    </row>
    <row r="54" spans="1:6" s="23" customFormat="1" ht="45">
      <c r="A54" s="14">
        <v>51</v>
      </c>
      <c r="B54" s="8" t="s">
        <v>140</v>
      </c>
      <c r="C54" s="26" t="s">
        <v>141</v>
      </c>
      <c r="D54" s="8" t="s">
        <v>139</v>
      </c>
      <c r="E54" s="31" t="s">
        <v>340</v>
      </c>
      <c r="F54" s="27">
        <v>401.7</v>
      </c>
    </row>
    <row r="55" spans="1:6" s="23" customFormat="1" ht="45">
      <c r="A55" s="14">
        <v>52</v>
      </c>
      <c r="B55" s="8" t="s">
        <v>142</v>
      </c>
      <c r="C55" s="26" t="s">
        <v>401</v>
      </c>
      <c r="D55" s="8" t="s">
        <v>133</v>
      </c>
      <c r="E55" s="31" t="s">
        <v>143</v>
      </c>
      <c r="F55" s="27">
        <f>704.42+18.03+427.14+77.58+23.81+563.99+102.43</f>
        <v>1917.3999999999999</v>
      </c>
    </row>
    <row r="56" spans="1:6" s="23" customFormat="1" ht="30">
      <c r="A56" s="7">
        <v>53</v>
      </c>
      <c r="B56" s="8" t="s">
        <v>135</v>
      </c>
      <c r="C56" s="26" t="s">
        <v>58</v>
      </c>
      <c r="D56" s="8" t="s">
        <v>137</v>
      </c>
      <c r="E56" s="31" t="s">
        <v>136</v>
      </c>
      <c r="F56" s="27">
        <f>396</f>
        <v>396</v>
      </c>
    </row>
    <row r="57" spans="1:6" s="23" customFormat="1" ht="75">
      <c r="A57" s="14">
        <v>54</v>
      </c>
      <c r="B57" s="8" t="s">
        <v>148</v>
      </c>
      <c r="C57" s="26" t="s">
        <v>402</v>
      </c>
      <c r="D57" s="8" t="s">
        <v>137</v>
      </c>
      <c r="E57" s="31" t="s">
        <v>149</v>
      </c>
      <c r="F57" s="27">
        <f>111.37+24.7+585.04+106.26+3.69+87.43+15.88+21.13+500.51+90.9+99.22+2349.98+426.8+24.14+571.81+103.85+839.86+95.17+17.29+4.02+643.06+116.79+27.15+16.15+382.39+69.45</f>
        <v>7334.04</v>
      </c>
    </row>
    <row r="58" spans="1:6" s="23" customFormat="1" ht="30">
      <c r="A58" s="14">
        <v>55</v>
      </c>
      <c r="B58" s="8" t="s">
        <v>156</v>
      </c>
      <c r="C58" s="26" t="s">
        <v>158</v>
      </c>
      <c r="D58" s="8" t="s">
        <v>137</v>
      </c>
      <c r="E58" s="31" t="s">
        <v>157</v>
      </c>
      <c r="F58" s="27">
        <f>744.74+135.26</f>
        <v>880</v>
      </c>
    </row>
    <row r="59" spans="1:6" s="23" customFormat="1" ht="45">
      <c r="A59" s="7">
        <v>56</v>
      </c>
      <c r="B59" s="8" t="s">
        <v>167</v>
      </c>
      <c r="C59" s="26" t="s">
        <v>182</v>
      </c>
      <c r="D59" s="8" t="s">
        <v>168</v>
      </c>
      <c r="E59" s="31" t="s">
        <v>335</v>
      </c>
      <c r="F59" s="27">
        <f>495.08+89.92+550.09+99.91+714.06+129.69+228.5+41.5</f>
        <v>2348.75</v>
      </c>
    </row>
    <row r="60" spans="1:6" s="23" customFormat="1" ht="30">
      <c r="A60" s="14">
        <v>57</v>
      </c>
      <c r="B60" s="8" t="s">
        <v>151</v>
      </c>
      <c r="C60" s="26" t="s">
        <v>103</v>
      </c>
      <c r="D60" s="8" t="s">
        <v>154</v>
      </c>
      <c r="E60" s="31" t="s">
        <v>341</v>
      </c>
      <c r="F60" s="27">
        <v>9.52</v>
      </c>
    </row>
    <row r="61" spans="1:6" s="23" customFormat="1" ht="30">
      <c r="A61" s="14">
        <v>58</v>
      </c>
      <c r="B61" s="8" t="s">
        <v>169</v>
      </c>
      <c r="C61" s="26" t="s">
        <v>181</v>
      </c>
      <c r="D61" s="8" t="s">
        <v>154</v>
      </c>
      <c r="E61" s="31" t="s">
        <v>170</v>
      </c>
      <c r="F61" s="27">
        <f>100+123</f>
        <v>223</v>
      </c>
    </row>
    <row r="62" spans="1:6" s="23" customFormat="1" ht="30">
      <c r="A62" s="7">
        <v>59</v>
      </c>
      <c r="B62" s="8" t="s">
        <v>159</v>
      </c>
      <c r="C62" s="26" t="s">
        <v>180</v>
      </c>
      <c r="D62" s="8" t="s">
        <v>188</v>
      </c>
      <c r="E62" s="31" t="s">
        <v>342</v>
      </c>
      <c r="F62" s="27">
        <f>186.18+33.82</f>
        <v>220</v>
      </c>
    </row>
    <row r="63" spans="1:6" s="23" customFormat="1">
      <c r="A63" s="14">
        <v>60</v>
      </c>
      <c r="B63" s="32" t="s">
        <v>187</v>
      </c>
      <c r="C63" s="31" t="s">
        <v>189</v>
      </c>
      <c r="D63" s="32" t="s">
        <v>186</v>
      </c>
      <c r="E63" s="31" t="s">
        <v>191</v>
      </c>
      <c r="F63" s="27">
        <f>1840+8000</f>
        <v>9840</v>
      </c>
    </row>
    <row r="64" spans="1:6" s="23" customFormat="1" ht="30">
      <c r="A64" s="14">
        <v>61</v>
      </c>
      <c r="B64" s="32" t="s">
        <v>396</v>
      </c>
      <c r="C64" s="31" t="s">
        <v>406</v>
      </c>
      <c r="D64" s="32" t="s">
        <v>397</v>
      </c>
      <c r="E64" s="31" t="s">
        <v>335</v>
      </c>
      <c r="F64" s="27">
        <f>2538.9+461.1</f>
        <v>3000</v>
      </c>
    </row>
    <row r="65" spans="1:6" s="23" customFormat="1" ht="60">
      <c r="A65" s="7">
        <v>62</v>
      </c>
      <c r="B65" s="32" t="s">
        <v>171</v>
      </c>
      <c r="C65" s="31" t="s">
        <v>190</v>
      </c>
      <c r="D65" s="32" t="s">
        <v>172</v>
      </c>
      <c r="E65" s="31" t="s">
        <v>173</v>
      </c>
      <c r="F65" s="27">
        <f>335.13+60.87+335.13+60.87+489.16+88.84+190.34+34.57</f>
        <v>1594.9099999999999</v>
      </c>
    </row>
    <row r="66" spans="1:6" s="23" customFormat="1" ht="30">
      <c r="A66" s="14">
        <v>63</v>
      </c>
      <c r="B66" s="32" t="s">
        <v>300</v>
      </c>
      <c r="C66" s="31" t="s">
        <v>12</v>
      </c>
      <c r="D66" s="32" t="s">
        <v>302</v>
      </c>
      <c r="E66" s="31" t="s">
        <v>301</v>
      </c>
      <c r="F66" s="27">
        <f>2337</f>
        <v>2337</v>
      </c>
    </row>
    <row r="67" spans="1:6" s="23" customFormat="1" ht="30">
      <c r="A67" s="14">
        <v>64</v>
      </c>
      <c r="B67" s="32" t="s">
        <v>176</v>
      </c>
      <c r="C67" s="31" t="s">
        <v>180</v>
      </c>
      <c r="D67" s="32" t="s">
        <v>174</v>
      </c>
      <c r="E67" s="31" t="s">
        <v>177</v>
      </c>
      <c r="F67" s="27">
        <f>372.37+67.63</f>
        <v>440</v>
      </c>
    </row>
    <row r="68" spans="1:6" s="23" customFormat="1" ht="30">
      <c r="A68" s="7">
        <v>65</v>
      </c>
      <c r="B68" s="32" t="s">
        <v>238</v>
      </c>
      <c r="C68" s="31" t="s">
        <v>241</v>
      </c>
      <c r="D68" s="32" t="s">
        <v>239</v>
      </c>
      <c r="E68" s="31" t="s">
        <v>240</v>
      </c>
      <c r="F68" s="27">
        <f>8039.85+1460.15</f>
        <v>9500</v>
      </c>
    </row>
    <row r="69" spans="1:6" s="23" customFormat="1" ht="30">
      <c r="A69" s="14">
        <v>66</v>
      </c>
      <c r="B69" s="32" t="s">
        <v>178</v>
      </c>
      <c r="C69" s="31" t="s">
        <v>181</v>
      </c>
      <c r="D69" s="32" t="s">
        <v>175</v>
      </c>
      <c r="E69" s="31" t="s">
        <v>179</v>
      </c>
      <c r="F69" s="27">
        <f>400+400</f>
        <v>800</v>
      </c>
    </row>
    <row r="70" spans="1:6" s="23" customFormat="1" ht="60">
      <c r="A70" s="14">
        <v>67</v>
      </c>
      <c r="B70" s="32" t="s">
        <v>212</v>
      </c>
      <c r="C70" s="31" t="s">
        <v>214</v>
      </c>
      <c r="D70" s="32" t="s">
        <v>213</v>
      </c>
      <c r="E70" s="31" t="s">
        <v>343</v>
      </c>
      <c r="F70" s="27">
        <f>1091.72+198.28</f>
        <v>1290</v>
      </c>
    </row>
    <row r="71" spans="1:6" s="23" customFormat="1" ht="30">
      <c r="A71" s="7">
        <v>68</v>
      </c>
      <c r="B71" s="32" t="s">
        <v>224</v>
      </c>
      <c r="C71" s="31" t="s">
        <v>92</v>
      </c>
      <c r="D71" s="32" t="s">
        <v>225</v>
      </c>
      <c r="E71" s="31" t="s">
        <v>344</v>
      </c>
      <c r="F71" s="27">
        <f>1100</f>
        <v>1100</v>
      </c>
    </row>
    <row r="72" spans="1:6" s="23" customFormat="1" ht="30">
      <c r="A72" s="14">
        <v>69</v>
      </c>
      <c r="B72" s="32" t="s">
        <v>245</v>
      </c>
      <c r="C72" s="31" t="s">
        <v>246</v>
      </c>
      <c r="D72" s="32" t="s">
        <v>244</v>
      </c>
      <c r="E72" s="31" t="s">
        <v>335</v>
      </c>
      <c r="F72" s="27">
        <f>1800.86+327.07</f>
        <v>2127.9299999999998</v>
      </c>
    </row>
    <row r="73" spans="1:6" s="23" customFormat="1">
      <c r="A73" s="14">
        <v>70</v>
      </c>
      <c r="B73" s="32" t="s">
        <v>195</v>
      </c>
      <c r="C73" s="31" t="s">
        <v>198</v>
      </c>
      <c r="D73" s="32" t="s">
        <v>197</v>
      </c>
      <c r="E73" s="16" t="s">
        <v>196</v>
      </c>
      <c r="F73" s="27">
        <f>1467.73+266.57</f>
        <v>1734.3</v>
      </c>
    </row>
    <row r="74" spans="1:6" s="23" customFormat="1">
      <c r="A74" s="7">
        <v>71</v>
      </c>
      <c r="B74" s="32" t="s">
        <v>202</v>
      </c>
      <c r="C74" s="31" t="s">
        <v>204</v>
      </c>
      <c r="D74" s="32" t="s">
        <v>203</v>
      </c>
      <c r="E74" s="17" t="s">
        <v>345</v>
      </c>
      <c r="F74" s="27">
        <v>710</v>
      </c>
    </row>
    <row r="75" spans="1:6" s="23" customFormat="1" ht="30">
      <c r="A75" s="14">
        <v>72</v>
      </c>
      <c r="B75" s="32" t="s">
        <v>260</v>
      </c>
      <c r="C75" s="31" t="s">
        <v>77</v>
      </c>
      <c r="D75" s="32" t="s">
        <v>258</v>
      </c>
      <c r="E75" s="17" t="s">
        <v>259</v>
      </c>
      <c r="F75" s="27">
        <f>6177.99+1122.01</f>
        <v>7300</v>
      </c>
    </row>
    <row r="76" spans="1:6" s="23" customFormat="1" ht="45">
      <c r="A76" s="14">
        <v>73</v>
      </c>
      <c r="B76" s="32" t="s">
        <v>247</v>
      </c>
      <c r="C76" s="31" t="s">
        <v>249</v>
      </c>
      <c r="D76" s="32" t="s">
        <v>235</v>
      </c>
      <c r="E76" s="17" t="s">
        <v>248</v>
      </c>
      <c r="F76" s="27">
        <f>2846.1+516.9+3794.8+689.2</f>
        <v>7847</v>
      </c>
    </row>
    <row r="77" spans="1:6" s="23" customFormat="1">
      <c r="A77" s="7">
        <v>74</v>
      </c>
      <c r="B77" s="32" t="s">
        <v>233</v>
      </c>
      <c r="C77" s="31" t="s">
        <v>236</v>
      </c>
      <c r="D77" s="32" t="s">
        <v>235</v>
      </c>
      <c r="E77" s="17" t="s">
        <v>234</v>
      </c>
      <c r="F77" s="27">
        <f>804.02+146.03+33.95</f>
        <v>984</v>
      </c>
    </row>
    <row r="78" spans="1:6" s="23" customFormat="1">
      <c r="A78" s="14">
        <v>75</v>
      </c>
      <c r="B78" s="32" t="s">
        <v>403</v>
      </c>
      <c r="C78" s="31" t="s">
        <v>404</v>
      </c>
      <c r="D78" s="32" t="s">
        <v>367</v>
      </c>
      <c r="E78" s="17" t="s">
        <v>405</v>
      </c>
      <c r="F78" s="27">
        <v>40</v>
      </c>
    </row>
    <row r="79" spans="1:6" s="23" customFormat="1" ht="30">
      <c r="A79" s="14">
        <v>76</v>
      </c>
      <c r="B79" s="32" t="s">
        <v>256</v>
      </c>
      <c r="C79" s="31" t="s">
        <v>257</v>
      </c>
      <c r="D79" s="32" t="s">
        <v>254</v>
      </c>
      <c r="E79" s="31" t="s">
        <v>255</v>
      </c>
      <c r="F79" s="27">
        <f>1997.26+362.74</f>
        <v>2360</v>
      </c>
    </row>
    <row r="80" spans="1:6" s="23" customFormat="1" ht="30">
      <c r="A80" s="7">
        <v>77</v>
      </c>
      <c r="B80" s="32" t="s">
        <v>230</v>
      </c>
      <c r="C80" s="31" t="s">
        <v>63</v>
      </c>
      <c r="D80" s="32" t="s">
        <v>232</v>
      </c>
      <c r="E80" s="17" t="s">
        <v>231</v>
      </c>
      <c r="F80" s="27">
        <f>175.64</f>
        <v>175.64</v>
      </c>
    </row>
    <row r="81" spans="1:6" s="23" customFormat="1" ht="30">
      <c r="A81" s="14">
        <v>78</v>
      </c>
      <c r="B81" s="32" t="s">
        <v>366</v>
      </c>
      <c r="C81" s="31" t="s">
        <v>369</v>
      </c>
      <c r="D81" s="32" t="s">
        <v>367</v>
      </c>
      <c r="E81" s="17" t="s">
        <v>368</v>
      </c>
      <c r="F81" s="27">
        <f>4502.31+817.69</f>
        <v>5320</v>
      </c>
    </row>
    <row r="82" spans="1:6" s="23" customFormat="1" ht="45">
      <c r="A82" s="14">
        <v>79</v>
      </c>
      <c r="B82" s="32" t="s">
        <v>208</v>
      </c>
      <c r="C82" s="31" t="s">
        <v>211</v>
      </c>
      <c r="D82" s="32" t="s">
        <v>210</v>
      </c>
      <c r="E82" s="17" t="s">
        <v>209</v>
      </c>
      <c r="F82" s="27">
        <f>215.24+5097.76+925.83</f>
        <v>6238.83</v>
      </c>
    </row>
    <row r="83" spans="1:6" s="23" customFormat="1" ht="30">
      <c r="A83" s="7">
        <v>80</v>
      </c>
      <c r="B83" s="32" t="s">
        <v>193</v>
      </c>
      <c r="C83" s="31" t="s">
        <v>158</v>
      </c>
      <c r="D83" s="32" t="s">
        <v>194</v>
      </c>
      <c r="E83" s="17" t="s">
        <v>346</v>
      </c>
      <c r="F83" s="27">
        <f>744.74+135.26</f>
        <v>880</v>
      </c>
    </row>
    <row r="84" spans="1:6" s="23" customFormat="1" ht="30">
      <c r="A84" s="14">
        <v>81</v>
      </c>
      <c r="B84" s="32" t="s">
        <v>242</v>
      </c>
      <c r="C84" s="31" t="s">
        <v>158</v>
      </c>
      <c r="D84" s="32" t="s">
        <v>243</v>
      </c>
      <c r="E84" s="31" t="s">
        <v>347</v>
      </c>
      <c r="F84" s="27">
        <f>660.11+119.89</f>
        <v>780</v>
      </c>
    </row>
    <row r="85" spans="1:6" s="23" customFormat="1" ht="45">
      <c r="A85" s="14">
        <v>82</v>
      </c>
      <c r="B85" s="32" t="s">
        <v>271</v>
      </c>
      <c r="C85" s="31" t="s">
        <v>152</v>
      </c>
      <c r="D85" s="32" t="s">
        <v>243</v>
      </c>
      <c r="E85" s="31" t="s">
        <v>272</v>
      </c>
      <c r="F85" s="27">
        <f>1641.82+298.18</f>
        <v>1940</v>
      </c>
    </row>
    <row r="86" spans="1:6" s="23" customFormat="1">
      <c r="A86" s="7">
        <v>83</v>
      </c>
      <c r="B86" s="32" t="s">
        <v>358</v>
      </c>
      <c r="C86" s="31" t="s">
        <v>58</v>
      </c>
      <c r="D86" s="32" t="s">
        <v>210</v>
      </c>
      <c r="E86" s="31" t="s">
        <v>359</v>
      </c>
      <c r="F86" s="27">
        <f>5196.28+943.72</f>
        <v>6140</v>
      </c>
    </row>
    <row r="87" spans="1:6" s="23" customFormat="1" ht="30">
      <c r="A87" s="14">
        <v>84</v>
      </c>
      <c r="B87" s="32" t="s">
        <v>297</v>
      </c>
      <c r="C87" s="31" t="s">
        <v>158</v>
      </c>
      <c r="D87" s="32" t="s">
        <v>299</v>
      </c>
      <c r="E87" s="17" t="s">
        <v>298</v>
      </c>
      <c r="F87" s="27">
        <f>660.11+119.89</f>
        <v>780</v>
      </c>
    </row>
    <row r="88" spans="1:6" s="23" customFormat="1" ht="30">
      <c r="A88" s="14">
        <v>85</v>
      </c>
      <c r="B88" s="32" t="s">
        <v>356</v>
      </c>
      <c r="C88" s="31" t="s">
        <v>158</v>
      </c>
      <c r="D88" s="32" t="s">
        <v>299</v>
      </c>
      <c r="E88" s="33" t="s">
        <v>357</v>
      </c>
      <c r="F88" s="27">
        <f>330.05+59.95</f>
        <v>390</v>
      </c>
    </row>
    <row r="89" spans="1:6" s="23" customFormat="1" ht="45">
      <c r="A89" s="7">
        <v>86</v>
      </c>
      <c r="B89" s="32" t="s">
        <v>266</v>
      </c>
      <c r="C89" s="31" t="s">
        <v>267</v>
      </c>
      <c r="D89" s="32" t="s">
        <v>220</v>
      </c>
      <c r="E89" s="17" t="s">
        <v>348</v>
      </c>
      <c r="F89" s="27">
        <f>1591.04+288.96</f>
        <v>1880</v>
      </c>
    </row>
    <row r="90" spans="1:6" s="23" customFormat="1">
      <c r="A90" s="14">
        <v>87</v>
      </c>
      <c r="B90" s="32" t="s">
        <v>380</v>
      </c>
      <c r="C90" s="31" t="s">
        <v>407</v>
      </c>
      <c r="D90" s="32" t="s">
        <v>278</v>
      </c>
      <c r="E90" s="17" t="s">
        <v>335</v>
      </c>
      <c r="F90" s="27">
        <f>2538.9+461.1</f>
        <v>3000</v>
      </c>
    </row>
    <row r="91" spans="1:6" s="23" customFormat="1">
      <c r="A91" s="14">
        <v>88</v>
      </c>
      <c r="B91" s="32" t="s">
        <v>218</v>
      </c>
      <c r="C91" s="31" t="s">
        <v>219</v>
      </c>
      <c r="D91" s="32" t="s">
        <v>220</v>
      </c>
      <c r="E91" s="17" t="s">
        <v>335</v>
      </c>
      <c r="F91" s="27">
        <f>2369.64+430.36</f>
        <v>2800</v>
      </c>
    </row>
    <row r="92" spans="1:6" s="23" customFormat="1" ht="30">
      <c r="A92" s="7">
        <v>89</v>
      </c>
      <c r="B92" s="32" t="s">
        <v>303</v>
      </c>
      <c r="C92" s="31" t="s">
        <v>325</v>
      </c>
      <c r="D92" s="32" t="s">
        <v>220</v>
      </c>
      <c r="E92" s="17" t="s">
        <v>336</v>
      </c>
      <c r="F92" s="27">
        <f>2518.58+457.42</f>
        <v>2976</v>
      </c>
    </row>
    <row r="93" spans="1:6" s="23" customFormat="1" ht="60">
      <c r="A93" s="14">
        <v>90</v>
      </c>
      <c r="B93" s="32" t="s">
        <v>277</v>
      </c>
      <c r="C93" s="31" t="s">
        <v>280</v>
      </c>
      <c r="D93" s="32" t="s">
        <v>278</v>
      </c>
      <c r="E93" s="31" t="s">
        <v>279</v>
      </c>
      <c r="F93" s="27">
        <f>2589.67+470.33</f>
        <v>3060</v>
      </c>
    </row>
    <row r="94" spans="1:6" s="23" customFormat="1">
      <c r="A94" s="14">
        <v>91</v>
      </c>
      <c r="B94" s="32" t="s">
        <v>274</v>
      </c>
      <c r="C94" s="31" t="s">
        <v>276</v>
      </c>
      <c r="D94" s="32" t="s">
        <v>275</v>
      </c>
      <c r="E94" s="31" t="s">
        <v>335</v>
      </c>
      <c r="F94" s="27">
        <f>2538.9+461.1</f>
        <v>3000</v>
      </c>
    </row>
    <row r="95" spans="1:6" s="23" customFormat="1">
      <c r="A95" s="7">
        <v>92</v>
      </c>
      <c r="B95" s="32" t="s">
        <v>374</v>
      </c>
      <c r="C95" s="31" t="s">
        <v>408</v>
      </c>
      <c r="D95" s="32" t="s">
        <v>375</v>
      </c>
      <c r="E95" s="31" t="s">
        <v>335</v>
      </c>
      <c r="F95" s="27">
        <f>2538.9+461.1</f>
        <v>3000</v>
      </c>
    </row>
    <row r="96" spans="1:6" s="23" customFormat="1" ht="30">
      <c r="A96" s="14">
        <v>93</v>
      </c>
      <c r="B96" s="32" t="s">
        <v>237</v>
      </c>
      <c r="C96" s="31" t="s">
        <v>180</v>
      </c>
      <c r="D96" s="32" t="s">
        <v>229</v>
      </c>
      <c r="E96" s="31" t="s">
        <v>177</v>
      </c>
      <c r="F96" s="27">
        <f>372.37+67.63</f>
        <v>440</v>
      </c>
    </row>
    <row r="97" spans="1:6" s="23" customFormat="1" ht="60">
      <c r="A97" s="14">
        <v>94</v>
      </c>
      <c r="B97" s="32" t="s">
        <v>227</v>
      </c>
      <c r="C97" s="31" t="s">
        <v>253</v>
      </c>
      <c r="D97" s="32" t="s">
        <v>229</v>
      </c>
      <c r="E97" s="31" t="s">
        <v>228</v>
      </c>
      <c r="F97" s="27">
        <f>384.38+69.82+291.97+53.03+335.13+60.87+934.44+169.71</f>
        <v>2299.35</v>
      </c>
    </row>
    <row r="98" spans="1:6" s="23" customFormat="1">
      <c r="A98" s="7">
        <v>95</v>
      </c>
      <c r="B98" s="32" t="s">
        <v>199</v>
      </c>
      <c r="C98" s="31" t="s">
        <v>201</v>
      </c>
      <c r="D98" s="32" t="s">
        <v>200</v>
      </c>
      <c r="E98" s="31" t="s">
        <v>335</v>
      </c>
      <c r="F98" s="27">
        <f>2538.9+461.1</f>
        <v>3000</v>
      </c>
    </row>
    <row r="99" spans="1:6" s="23" customFormat="1" ht="60">
      <c r="A99" s="14">
        <v>96</v>
      </c>
      <c r="B99" s="32" t="s">
        <v>290</v>
      </c>
      <c r="C99" s="31" t="s">
        <v>267</v>
      </c>
      <c r="D99" s="32" t="s">
        <v>289</v>
      </c>
      <c r="E99" s="31" t="s">
        <v>291</v>
      </c>
      <c r="F99" s="27">
        <f>2623.53+476.47</f>
        <v>3100</v>
      </c>
    </row>
    <row r="100" spans="1:6" s="23" customFormat="1" ht="60">
      <c r="A100" s="14">
        <v>97</v>
      </c>
      <c r="B100" s="32" t="s">
        <v>319</v>
      </c>
      <c r="C100" s="31" t="s">
        <v>280</v>
      </c>
      <c r="D100" s="32" t="s">
        <v>278</v>
      </c>
      <c r="E100" s="31" t="s">
        <v>349</v>
      </c>
      <c r="F100" s="27">
        <f>2170.75+394.25</f>
        <v>2565</v>
      </c>
    </row>
    <row r="101" spans="1:6" s="23" customFormat="1" ht="30">
      <c r="A101" s="7">
        <v>98</v>
      </c>
      <c r="B101" s="32" t="s">
        <v>320</v>
      </c>
      <c r="C101" s="31" t="s">
        <v>249</v>
      </c>
      <c r="D101" s="32" t="s">
        <v>278</v>
      </c>
      <c r="E101" s="31" t="s">
        <v>321</v>
      </c>
      <c r="F101" s="27">
        <f>4783.71+868.79</f>
        <v>5652.5</v>
      </c>
    </row>
    <row r="102" spans="1:6" s="23" customFormat="1" ht="60">
      <c r="A102" s="14">
        <v>99</v>
      </c>
      <c r="B102" s="32" t="s">
        <v>310</v>
      </c>
      <c r="C102" s="31" t="s">
        <v>280</v>
      </c>
      <c r="D102" s="32" t="s">
        <v>278</v>
      </c>
      <c r="E102" s="31" t="s">
        <v>311</v>
      </c>
      <c r="F102" s="27">
        <f>1736.6+315.4</f>
        <v>2052</v>
      </c>
    </row>
    <row r="103" spans="1:6" s="23" customFormat="1" ht="30">
      <c r="A103" s="14">
        <v>100</v>
      </c>
      <c r="B103" s="32" t="s">
        <v>284</v>
      </c>
      <c r="C103" s="31" t="s">
        <v>126</v>
      </c>
      <c r="D103" s="32" t="s">
        <v>285</v>
      </c>
      <c r="E103" s="31" t="s">
        <v>286</v>
      </c>
      <c r="F103" s="27">
        <f>98+1</f>
        <v>99</v>
      </c>
    </row>
    <row r="104" spans="1:6" s="23" customFormat="1" ht="30">
      <c r="A104" s="7">
        <v>101</v>
      </c>
      <c r="B104" s="32" t="s">
        <v>287</v>
      </c>
      <c r="C104" s="31" t="s">
        <v>158</v>
      </c>
      <c r="D104" s="32" t="s">
        <v>289</v>
      </c>
      <c r="E104" s="31" t="s">
        <v>288</v>
      </c>
      <c r="F104" s="27">
        <f>660.11+119.89</f>
        <v>780</v>
      </c>
    </row>
    <row r="105" spans="1:6" s="23" customFormat="1" ht="45">
      <c r="A105" s="14">
        <v>102</v>
      </c>
      <c r="B105" s="32" t="s">
        <v>292</v>
      </c>
      <c r="C105" s="31" t="s">
        <v>158</v>
      </c>
      <c r="D105" s="32" t="s">
        <v>262</v>
      </c>
      <c r="E105" s="31" t="s">
        <v>350</v>
      </c>
      <c r="F105" s="27">
        <f>660.11+119.89</f>
        <v>780</v>
      </c>
    </row>
    <row r="106" spans="1:6" s="23" customFormat="1" ht="30">
      <c r="A106" s="14">
        <v>103</v>
      </c>
      <c r="B106" s="32" t="s">
        <v>281</v>
      </c>
      <c r="C106" s="31" t="s">
        <v>181</v>
      </c>
      <c r="D106" s="32" t="s">
        <v>283</v>
      </c>
      <c r="E106" s="31" t="s">
        <v>282</v>
      </c>
      <c r="F106" s="27">
        <v>246</v>
      </c>
    </row>
    <row r="107" spans="1:6" s="23" customFormat="1">
      <c r="A107" s="7">
        <v>104</v>
      </c>
      <c r="B107" s="32" t="s">
        <v>250</v>
      </c>
      <c r="C107" s="31" t="s">
        <v>252</v>
      </c>
      <c r="D107" s="32" t="s">
        <v>262</v>
      </c>
      <c r="E107" s="31" t="s">
        <v>251</v>
      </c>
      <c r="F107" s="27">
        <f>567.31+103.04</f>
        <v>670.34999999999991</v>
      </c>
    </row>
    <row r="108" spans="1:6" s="23" customFormat="1" ht="30">
      <c r="A108" s="14">
        <v>105</v>
      </c>
      <c r="B108" s="32" t="s">
        <v>304</v>
      </c>
      <c r="C108" s="31" t="s">
        <v>324</v>
      </c>
      <c r="D108" s="32" t="s">
        <v>223</v>
      </c>
      <c r="E108" s="31" t="s">
        <v>351</v>
      </c>
      <c r="F108" s="27">
        <f>973.24+176.76</f>
        <v>1150</v>
      </c>
    </row>
    <row r="109" spans="1:6" s="23" customFormat="1" ht="30">
      <c r="A109" s="14">
        <v>106</v>
      </c>
      <c r="B109" s="32" t="s">
        <v>312</v>
      </c>
      <c r="C109" s="31" t="s">
        <v>222</v>
      </c>
      <c r="D109" s="32" t="s">
        <v>223</v>
      </c>
      <c r="E109" s="31" t="s">
        <v>352</v>
      </c>
      <c r="F109" s="27">
        <f>3385.2+614.8+71.93+13.07</f>
        <v>4085</v>
      </c>
    </row>
    <row r="110" spans="1:6" s="23" customFormat="1" ht="30">
      <c r="A110" s="7">
        <v>107</v>
      </c>
      <c r="B110" s="32" t="s">
        <v>268</v>
      </c>
      <c r="C110" s="31" t="s">
        <v>270</v>
      </c>
      <c r="D110" s="32" t="s">
        <v>223</v>
      </c>
      <c r="E110" s="31" t="s">
        <v>269</v>
      </c>
      <c r="F110" s="27">
        <f>82.8+1961.04+356.16</f>
        <v>2400</v>
      </c>
    </row>
    <row r="111" spans="1:6" s="23" customFormat="1" ht="45">
      <c r="A111" s="14">
        <v>108</v>
      </c>
      <c r="B111" s="32" t="s">
        <v>293</v>
      </c>
      <c r="C111" s="31" t="s">
        <v>296</v>
      </c>
      <c r="D111" s="32" t="s">
        <v>295</v>
      </c>
      <c r="E111" s="31" t="s">
        <v>294</v>
      </c>
      <c r="F111" s="27">
        <v>48.01</v>
      </c>
    </row>
    <row r="112" spans="1:6" s="23" customFormat="1">
      <c r="A112" s="14">
        <v>109</v>
      </c>
      <c r="B112" s="32" t="s">
        <v>261</v>
      </c>
      <c r="C112" s="31" t="s">
        <v>265</v>
      </c>
      <c r="D112" s="32" t="s">
        <v>264</v>
      </c>
      <c r="E112" s="31" t="s">
        <v>263</v>
      </c>
      <c r="F112" s="27">
        <f>1.38+32.59+5.93</f>
        <v>39.900000000000006</v>
      </c>
    </row>
    <row r="113" spans="1:82" s="23" customFormat="1" ht="30">
      <c r="A113" s="7">
        <v>110</v>
      </c>
      <c r="B113" s="32" t="s">
        <v>221</v>
      </c>
      <c r="C113" s="31" t="s">
        <v>222</v>
      </c>
      <c r="D113" s="32" t="s">
        <v>223</v>
      </c>
      <c r="E113" s="16" t="s">
        <v>352</v>
      </c>
      <c r="F113" s="27">
        <f>85+3385.2+614.8</f>
        <v>4085</v>
      </c>
    </row>
    <row r="114" spans="1:82" s="23" customFormat="1">
      <c r="A114" s="14">
        <v>111</v>
      </c>
      <c r="B114" s="32" t="s">
        <v>305</v>
      </c>
      <c r="C114" s="31" t="s">
        <v>323</v>
      </c>
      <c r="D114" s="32" t="s">
        <v>56</v>
      </c>
      <c r="E114" s="17" t="s">
        <v>336</v>
      </c>
      <c r="F114" s="27">
        <f>116.57+21.18+2363.71+429.29</f>
        <v>2930.75</v>
      </c>
    </row>
    <row r="115" spans="1:82" s="23" customFormat="1" ht="30">
      <c r="A115" s="14">
        <v>112</v>
      </c>
      <c r="B115" s="32" t="s">
        <v>360</v>
      </c>
      <c r="C115" s="31" t="s">
        <v>181</v>
      </c>
      <c r="D115" s="32" t="s">
        <v>362</v>
      </c>
      <c r="E115" s="17" t="s">
        <v>361</v>
      </c>
      <c r="F115" s="27">
        <f>263</f>
        <v>263</v>
      </c>
    </row>
    <row r="116" spans="1:82" s="23" customFormat="1" ht="45">
      <c r="A116" s="7">
        <v>113</v>
      </c>
      <c r="B116" s="32" t="s">
        <v>370</v>
      </c>
      <c r="C116" s="31" t="s">
        <v>152</v>
      </c>
      <c r="D116" s="32" t="s">
        <v>229</v>
      </c>
      <c r="E116" s="17" t="s">
        <v>371</v>
      </c>
      <c r="F116" s="27">
        <f>1641.82+298.18</f>
        <v>1940</v>
      </c>
    </row>
    <row r="117" spans="1:82" s="23" customFormat="1">
      <c r="A117" s="14">
        <v>114</v>
      </c>
      <c r="B117" s="32" t="s">
        <v>363</v>
      </c>
      <c r="C117" s="31" t="s">
        <v>365</v>
      </c>
      <c r="D117" s="32" t="s">
        <v>295</v>
      </c>
      <c r="E117" s="17" t="s">
        <v>364</v>
      </c>
      <c r="F117" s="27">
        <f>1946.49+353.51+1946.49+353.51</f>
        <v>4600</v>
      </c>
    </row>
    <row r="118" spans="1:82" s="23" customFormat="1" ht="30">
      <c r="A118" s="14">
        <v>115</v>
      </c>
      <c r="B118" s="32" t="s">
        <v>315</v>
      </c>
      <c r="C118" s="31" t="s">
        <v>318</v>
      </c>
      <c r="D118" s="32" t="s">
        <v>317</v>
      </c>
      <c r="E118" s="17" t="s">
        <v>316</v>
      </c>
      <c r="F118" s="27">
        <f>1963.41+356.59</f>
        <v>2320</v>
      </c>
    </row>
    <row r="119" spans="1:82" s="23" customFormat="1" ht="45">
      <c r="A119" s="7">
        <v>116</v>
      </c>
      <c r="B119" s="32" t="s">
        <v>372</v>
      </c>
      <c r="C119" s="31" t="s">
        <v>152</v>
      </c>
      <c r="D119" s="32" t="s">
        <v>373</v>
      </c>
      <c r="E119" s="17" t="s">
        <v>371</v>
      </c>
      <c r="F119" s="27">
        <f>1641.82+298.18</f>
        <v>1940</v>
      </c>
    </row>
    <row r="120" spans="1:82" s="23" customFormat="1" ht="30">
      <c r="A120" s="14">
        <v>117</v>
      </c>
      <c r="B120" s="32" t="s">
        <v>376</v>
      </c>
      <c r="C120" s="31" t="s">
        <v>379</v>
      </c>
      <c r="D120" s="32" t="s">
        <v>377</v>
      </c>
      <c r="E120" s="17" t="s">
        <v>378</v>
      </c>
      <c r="F120" s="27">
        <f>1401.47+254.53</f>
        <v>1656</v>
      </c>
    </row>
    <row r="121" spans="1:82" s="23" customFormat="1" ht="30">
      <c r="A121" s="14">
        <v>118</v>
      </c>
      <c r="B121" s="32" t="s">
        <v>313</v>
      </c>
      <c r="C121" s="31" t="s">
        <v>322</v>
      </c>
      <c r="D121" s="32" t="s">
        <v>314</v>
      </c>
      <c r="E121" s="17" t="s">
        <v>353</v>
      </c>
      <c r="F121" s="27">
        <f>736.28+133.72+809.9+147.1+964.78+175.22</f>
        <v>2966.9999999999995</v>
      </c>
    </row>
    <row r="122" spans="1:82" s="23" customFormat="1">
      <c r="A122" s="7">
        <v>119</v>
      </c>
      <c r="B122" s="32" t="s">
        <v>381</v>
      </c>
      <c r="C122" s="31" t="s">
        <v>383</v>
      </c>
      <c r="D122" s="32" t="s">
        <v>377</v>
      </c>
      <c r="E122" s="17" t="s">
        <v>382</v>
      </c>
      <c r="F122" s="27">
        <f>6766.16+1228.84</f>
        <v>7995</v>
      </c>
    </row>
    <row r="123" spans="1:82" s="23" customFormat="1" ht="30">
      <c r="A123" s="14">
        <v>120</v>
      </c>
      <c r="B123" s="32" t="s">
        <v>392</v>
      </c>
      <c r="C123" s="31" t="s">
        <v>395</v>
      </c>
      <c r="D123" s="32" t="s">
        <v>394</v>
      </c>
      <c r="E123" s="17" t="s">
        <v>393</v>
      </c>
      <c r="F123" s="27">
        <f>3831.2+695.8</f>
        <v>4527</v>
      </c>
    </row>
    <row r="124" spans="1:82" s="23" customFormat="1" ht="45">
      <c r="A124" s="14">
        <v>121</v>
      </c>
      <c r="B124" s="32" t="s">
        <v>388</v>
      </c>
      <c r="C124" s="31" t="s">
        <v>391</v>
      </c>
      <c r="D124" s="32" t="s">
        <v>390</v>
      </c>
      <c r="E124" s="17" t="s">
        <v>389</v>
      </c>
      <c r="F124" s="27">
        <f>25303.52+4595.48</f>
        <v>29899</v>
      </c>
    </row>
    <row r="125" spans="1:82" s="23" customFormat="1" ht="60">
      <c r="A125" s="7">
        <v>122</v>
      </c>
      <c r="B125" s="32" t="s">
        <v>398</v>
      </c>
      <c r="C125" s="31" t="s">
        <v>379</v>
      </c>
      <c r="D125" s="32" t="s">
        <v>400</v>
      </c>
      <c r="E125" s="17" t="s">
        <v>399</v>
      </c>
      <c r="F125" s="27">
        <f>1675.67+304.33</f>
        <v>1980</v>
      </c>
    </row>
    <row r="126" spans="1:82" s="23" customFormat="1">
      <c r="A126" s="14">
        <v>123</v>
      </c>
      <c r="B126" s="32" t="s">
        <v>384</v>
      </c>
      <c r="C126" s="31" t="s">
        <v>387</v>
      </c>
      <c r="D126" s="32" t="s">
        <v>385</v>
      </c>
      <c r="E126" s="17" t="s">
        <v>386</v>
      </c>
      <c r="F126" s="27">
        <f>114.53+2712.59+492.65</f>
        <v>3319.7700000000004</v>
      </c>
    </row>
    <row r="127" spans="1:82" s="4" customFormat="1" ht="17.25" thickBot="1">
      <c r="A127" s="19"/>
      <c r="B127" s="21" t="s">
        <v>9</v>
      </c>
      <c r="C127" s="20"/>
      <c r="D127" s="20"/>
      <c r="E127" s="20"/>
      <c r="F127" s="30">
        <f>SUM(F4:F126)</f>
        <v>330444.98</v>
      </c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</row>
    <row r="128" spans="1:82" s="4" customFormat="1">
      <c r="A128" s="12"/>
      <c r="B128" s="12"/>
      <c r="C128" s="12"/>
      <c r="D128" s="1"/>
      <c r="E128" s="12"/>
      <c r="F128" s="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</row>
    <row r="129" spans="1:82" s="4" customFormat="1" ht="17.25">
      <c r="A129" s="13" t="s">
        <v>354</v>
      </c>
      <c r="B129" s="13"/>
      <c r="C129" s="12"/>
      <c r="D129" s="1"/>
      <c r="E129" s="12"/>
      <c r="F129" s="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</row>
    <row r="190" ht="15.75" customHeight="1"/>
  </sheetData>
  <autoFilter ref="B3:F30"/>
  <mergeCells count="2">
    <mergeCell ref="A1:F1"/>
    <mergeCell ref="A2:E2"/>
  </mergeCells>
  <pageMargins left="0.15748031496062992" right="0.15748031496062992" top="0.27559055118110237" bottom="0.31496062992125984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zamówienia</vt:lpstr>
      <vt:lpstr>zamówienia!Obszar_wydruku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akubiak</dc:creator>
  <cp:lastModifiedBy>Renata Kolczyńska</cp:lastModifiedBy>
  <cp:lastPrinted>2018-11-06T10:07:24Z</cp:lastPrinted>
  <dcterms:created xsi:type="dcterms:W3CDTF">2015-06-22T15:06:47Z</dcterms:created>
  <dcterms:modified xsi:type="dcterms:W3CDTF">2019-01-21T08:41:30Z</dcterms:modified>
</cp:coreProperties>
</file>