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'doch_wyd'!$A$1:$M$130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7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<sst xmlns="http://schemas.openxmlformats.org/spreadsheetml/2006/main" count="335" uniqueCount="119">
  <si>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</si>
  <si>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</si>
  <si>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</si>
  <si>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</si>
  <si>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</si>
  <si>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</si>
  <si>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</si>
  <si>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</si>
  <si>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</si>
  <si>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</si>
  <si>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</si>
  <si>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</si>
  <si>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</si>
  <si>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</si>
  <si>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</si>
  <si>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</si>
  <si>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</si>
  <si>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</si>
  <si>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</si>
  <si>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</si>
  <si>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</si>
  <si>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</si>
  <si>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</si>
  <si>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</si>
  <si>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</si>
  <si>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</si>
  <si>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</si>
  <si>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</si>
  <si>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</si>
  <si>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>inne cele</t>
  </si>
  <si>
    <t>w tym wymagalne: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</si>
  <si>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</si>
  <si>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</si>
  <si>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</si>
  <si>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</si>
  <si>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</si>
  <si>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</si>
  <si>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</si>
  <si>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</si>
  <si>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</si>
  <si>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</si>
  <si>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</si>
  <si>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</si>
  <si>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</si>
  <si>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</si>
  <si>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</si>
  <si>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</si>
  <si>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</si>
  <si>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</si>
  <si>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</si>
  <si>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</si>
  <si>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</si>
  <si>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</si>
  <si>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</si>
  <si>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</si>
  <si>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opłata skarbowa</t>
  </si>
  <si>
    <t>opłata eksploatacyjna</t>
  </si>
  <si>
    <t>opłata targowa</t>
  </si>
  <si>
    <t>- część gminna</t>
  </si>
  <si>
    <t>- część powiatowa</t>
  </si>
  <si>
    <t>- pozostałe</t>
  </si>
  <si>
    <t>Subwencja ogólna dla gmin z tego:</t>
  </si>
  <si>
    <t>Subwencja ogólna dla powiatów z tego:</t>
  </si>
  <si>
    <t>#</t>
  </si>
  <si>
    <t>Razem dochody własne 
z tego:</t>
  </si>
  <si>
    <t>podatek dochodowy od osób prawnych - 
część gminna</t>
  </si>
  <si>
    <t>podatek dochodowy od osób prawnych - 
część powiatowa</t>
  </si>
  <si>
    <t>podatek dochodowy od osób fizycznych - 
część gminna</t>
  </si>
  <si>
    <t>podatek dochodowy od osób fizycznych - 
część powiatowa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</si>
  <si>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</si>
  <si>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</si>
  <si>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</si>
  <si>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</si>
  <si>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</si>
  <si>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</si>
  <si>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</si>
  <si>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z tego:</t>
  </si>
  <si>
    <t>świadczenia na rzecz osób fizycznych</t>
  </si>
  <si>
    <t>majątkowe</t>
  </si>
  <si>
    <t>bieżące</t>
  </si>
  <si>
    <t>UE</t>
  </si>
  <si>
    <t>wydatki majątkowe</t>
  </si>
  <si>
    <t>wydatki bieżące</t>
  </si>
  <si>
    <t>Dochody bieżące minus 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</si>
  <si>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</si>
  <si>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</si>
  <si>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</si>
  <si>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</si>
  <si>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</si>
  <si>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</si>
  <si>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</si>
  <si>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</si>
  <si>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</si>
  <si>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</si>
  <si>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</si>
  <si>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</si>
  <si>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</si>
  <si>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</si>
  <si>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</si>
  <si>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</si>
  <si>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</si>
  <si>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</si>
  <si>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w tym: inwestycyjne § 620</t>
  </si>
  <si>
    <t>Dotacje §§ 205 i 625</t>
  </si>
  <si>
    <t>w tym: inwestycyjne § 625</t>
  </si>
  <si>
    <t>WYDATKI OGÓŁEM UE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</si>
  <si>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</si>
  <si>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</si>
  <si>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</si>
  <si>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</si>
  <si>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</si>
  <si>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</si>
  <si>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</si>
  <si>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</si>
  <si>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</si>
  <si>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</si>
  <si>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wykonanychwydatków bieżących ponoszonych na spłatę przejętych zobowiązań samodzielnego publicznego zakładu opieki zdrowotnej przekształconego na zasadach określonych w ustawie o działalności leczniczej</t>
  </si>
  <si>
    <t>wydatki na wynagrodzenia i pochodne od wynagrodzeń</t>
  </si>
  <si>
    <t xml:space="preserve">Informacja z wykonania budżetów miast na prawach powiatu za II Kwartały 2020 rok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</si>
</sst>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35">
    <xf numFmtId="0" fontId="0" fillId="0" borderId="0" xfId="0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3" fillId="50" borderId="19" xfId="0" applyFont="1" applyFill="1" applyBorder="1" applyAlignment="1">
      <alignment horizontal="center" vertical="center" wrapText="1"/>
    </xf>
    <xf numFmtId="4" fontId="33" fillId="50" borderId="19" xfId="0" applyNumberFormat="1" applyFont="1" applyFill="1" applyBorder="1" applyAlignment="1">
      <alignment horizontal="center" vertical="center"/>
    </xf>
    <xf numFmtId="164" fontId="33" fillId="50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" fontId="34" fillId="0" borderId="19" xfId="0" applyNumberFormat="1" applyFont="1" applyBorder="1" applyAlignment="1">
      <alignment horizontal="center" vertical="center"/>
    </xf>
    <xf numFmtId="164" fontId="34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center" vertical="center"/>
    </xf>
    <xf numFmtId="4" fontId="35" fillId="0" borderId="19" xfId="0" applyNumberFormat="1" applyFont="1" applyFill="1" applyBorder="1" applyAlignment="1">
      <alignment horizontal="center" vertical="center"/>
    </xf>
    <xf numFmtId="4" fontId="34" fillId="50" borderId="19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13" fillId="40" borderId="19" xfId="0" applyFont="1" applyFill="1" applyBorder="1" applyAlignment="1" quotePrefix="1">
      <alignment horizontal="center" vertical="center" wrapText="1"/>
    </xf>
    <xf numFmtId="4" fontId="35" fillId="0" borderId="19" xfId="0" applyNumberFormat="1" applyFont="1" applyBorder="1" applyAlignment="1">
      <alignment horizontal="center" vertical="center"/>
    </xf>
    <xf numFmtId="0" fontId="13" fillId="50" borderId="19" xfId="0" applyFont="1" applyFill="1" applyBorder="1" applyAlignment="1" quotePrefix="1">
      <alignment horizontal="center" vertical="center" wrapText="1"/>
    </xf>
    <xf numFmtId="164" fontId="34" fillId="40" borderId="19" xfId="0" applyNumberFormat="1" applyFont="1" applyFill="1" applyBorder="1" applyAlignment="1">
      <alignment horizontal="center" vertical="center"/>
    </xf>
    <xf numFmtId="0" fontId="5" fillId="51" borderId="19" xfId="0" applyFont="1" applyFill="1" applyBorder="1" applyAlignment="1">
      <alignment horizontal="center" vertical="center" wrapText="1"/>
    </xf>
    <xf numFmtId="4" fontId="34" fillId="51" borderId="19" xfId="0" applyNumberFormat="1" applyFont="1" applyFill="1" applyBorder="1" applyAlignment="1">
      <alignment horizontal="center" vertical="center"/>
    </xf>
    <xf numFmtId="164" fontId="34" fillId="51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64" fontId="3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4" fontId="36" fillId="50" borderId="19" xfId="0" applyNumberFormat="1" applyFont="1" applyFill="1" applyBorder="1" applyAlignment="1">
      <alignment horizontal="center" vertical="center"/>
    </xf>
    <xf numFmtId="164" fontId="36" fillId="50" borderId="19" xfId="0" applyNumberFormat="1" applyFont="1" applyFill="1" applyBorder="1" applyAlignment="1">
      <alignment horizontal="center" vertical="center"/>
    </xf>
    <xf numFmtId="4" fontId="33" fillId="50" borderId="19" xfId="0" applyNumberFormat="1" applyFont="1" applyFill="1" applyBorder="1" applyAlignment="1">
      <alignment horizontal="center" vertical="center" wrapText="1"/>
    </xf>
    <xf numFmtId="4" fontId="33" fillId="50" borderId="19" xfId="0" applyNumberFormat="1" applyFont="1" applyFill="1" applyBorder="1" applyAlignment="1">
      <alignment horizontal="center" vertical="center" wrapText="1"/>
    </xf>
    <xf numFmtId="164" fontId="35" fillId="0" borderId="19" xfId="0" applyNumberFormat="1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16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164" fontId="35" fillId="0" borderId="19" xfId="0" applyNumberFormat="1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4" fontId="34" fillId="50" borderId="21" xfId="0" applyNumberFormat="1" applyFont="1" applyFill="1" applyBorder="1" applyAlignment="1">
      <alignment horizontal="center" vertical="center" wrapText="1"/>
    </xf>
    <xf numFmtId="4" fontId="34" fillId="5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4" fontId="34" fillId="0" borderId="21" xfId="0" applyNumberFormat="1" applyFont="1" applyFill="1" applyBorder="1" applyAlignment="1">
      <alignment horizontal="center" vertical="center" wrapText="1"/>
    </xf>
    <xf numFmtId="164" fontId="36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2" fillId="40" borderId="19" xfId="0" applyFont="1" applyFill="1" applyBorder="1" applyAlignment="1">
      <alignment horizontal="center" vertical="top" wrapText="1"/>
    </xf>
    <xf numFmtId="4" fontId="36" fillId="40" borderId="20" xfId="0" applyNumberFormat="1" applyFont="1" applyFill="1" applyBorder="1" applyAlignment="1">
      <alignment horizontal="center" vertical="center"/>
    </xf>
    <xf numFmtId="4" fontId="36" fillId="40" borderId="21" xfId="0" applyNumberFormat="1" applyFont="1" applyFill="1" applyBorder="1" applyAlignment="1">
      <alignment horizontal="center" vertical="center"/>
    </xf>
    <xf numFmtId="164" fontId="36" fillId="40" borderId="19" xfId="71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4" fontId="35" fillId="0" borderId="20" xfId="0" applyNumberFormat="1" applyFont="1" applyBorder="1" applyAlignment="1">
      <alignment horizontal="center" vertical="center"/>
    </xf>
    <xf numFmtId="4" fontId="35" fillId="0" borderId="21" xfId="0" applyNumberFormat="1" applyFont="1" applyBorder="1" applyAlignment="1">
      <alignment horizontal="center" vertical="center"/>
    </xf>
    <xf numFmtId="164" fontId="36" fillId="51" borderId="19" xfId="71" applyNumberFormat="1" applyFont="1" applyFill="1" applyBorder="1" applyAlignment="1">
      <alignment horizontal="center" vertical="center"/>
    </xf>
    <xf numFmtId="164" fontId="36" fillId="51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 wrapText="1"/>
    </xf>
    <xf numFmtId="4" fontId="35" fillId="0" borderId="20" xfId="0" applyNumberFormat="1" applyFont="1" applyFill="1" applyBorder="1" applyAlignment="1">
      <alignment horizontal="center" vertical="center"/>
    </xf>
    <xf numFmtId="4" fontId="35" fillId="0" borderId="21" xfId="0" applyNumberFormat="1" applyFont="1" applyFill="1" applyBorder="1" applyAlignment="1">
      <alignment horizontal="center" vertical="center"/>
    </xf>
    <xf numFmtId="164" fontId="36" fillId="0" borderId="19" xfId="71" applyNumberFormat="1" applyFont="1" applyFill="1" applyBorder="1" applyAlignment="1">
      <alignment horizontal="center" vertical="center"/>
    </xf>
    <xf numFmtId="0" fontId="12" fillId="50" borderId="19" xfId="0" applyFont="1" applyFill="1" applyBorder="1" applyAlignment="1">
      <alignment horizontal="center" vertical="top" wrapText="1"/>
    </xf>
    <xf numFmtId="4" fontId="36" fillId="50" borderId="20" xfId="0" applyNumberFormat="1" applyFont="1" applyFill="1" applyBorder="1" applyAlignment="1">
      <alignment horizontal="center" vertical="center"/>
    </xf>
    <xf numFmtId="4" fontId="36" fillId="50" borderId="21" xfId="0" applyNumberFormat="1" applyFont="1" applyFill="1" applyBorder="1" applyAlignment="1">
      <alignment horizontal="center" vertical="center"/>
    </xf>
    <xf numFmtId="164" fontId="36" fillId="50" borderId="19" xfId="71" applyNumberFormat="1" applyFont="1" applyFill="1" applyBorder="1" applyAlignment="1">
      <alignment horizontal="center" vertical="center"/>
    </xf>
    <xf numFmtId="0" fontId="55" fillId="0" borderId="19" xfId="89" applyFont="1" applyFill="1" applyBorder="1" applyAlignment="1">
      <alignment horizontal="center" vertical="top" wrapText="1"/>
      <protection/>
    </xf>
    <xf numFmtId="4" fontId="36" fillId="0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5" fillId="50" borderId="19" xfId="89" applyFont="1" applyFill="1" applyBorder="1" applyAlignment="1">
      <alignment horizontal="center" vertical="top" wrapText="1"/>
      <protection/>
    </xf>
    <xf numFmtId="0" fontId="55" fillId="0" borderId="19" xfId="89" applyFont="1" applyBorder="1" applyAlignment="1">
      <alignment horizontal="center" vertical="top" wrapText="1"/>
      <protection/>
    </xf>
    <xf numFmtId="4" fontId="35" fillId="50" borderId="2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2" borderId="20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center" vertical="center"/>
    </xf>
    <xf numFmtId="4" fontId="33" fillId="50" borderId="19" xfId="0" applyNumberFormat="1" applyFont="1" applyFill="1" applyBorder="1" applyAlignment="1">
      <alignment horizontal="center" vertical="center" wrapText="1"/>
    </xf>
    <xf numFmtId="4" fontId="34" fillId="0" borderId="20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4" fontId="36" fillId="50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29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23" hidden="1" customWidth="1"/>
    <col min="2" max="2" width="22.875" style="23" customWidth="1"/>
    <col min="3" max="5" width="14.625" style="23" customWidth="1"/>
    <col min="6" max="6" width="13.875" style="23" customWidth="1"/>
    <col min="7" max="7" width="13.00390625" style="23" customWidth="1"/>
    <col min="8" max="9" width="12.25390625" style="23" customWidth="1"/>
    <col min="10" max="10" width="13.00390625" style="23" customWidth="1"/>
    <col min="11" max="11" width="7.375" style="23" customWidth="1"/>
    <col min="12" max="12" width="7.25390625" style="23" customWidth="1"/>
    <col min="13" max="13" width="8.125" style="23" customWidth="1"/>
    <col min="14" max="16384" width="9.125" style="23" customWidth="1"/>
  </cols>
  <sheetData>
    <row r="1" spans="2:13" ht="27.75" customHeight="1">
      <c r="B1" s="106" t="s">
        <v>118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2:13" ht="63" customHeight="1">
      <c r="B2" s="133" t="s">
        <v>0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5" t="s">
        <v>38</v>
      </c>
      <c r="J2" s="5" t="s">
        <v>39</v>
      </c>
      <c r="K2" s="6" t="s">
        <v>2</v>
      </c>
      <c r="L2" s="5" t="s">
        <v>18</v>
      </c>
      <c r="M2" s="5" t="s">
        <v>3</v>
      </c>
    </row>
    <row r="3" spans="2:13" ht="12.75">
      <c r="B3" s="133"/>
      <c r="C3" s="105" t="s">
        <v>84</v>
      </c>
      <c r="D3" s="105"/>
      <c r="E3" s="105"/>
      <c r="F3" s="105"/>
      <c r="G3" s="105"/>
      <c r="H3" s="105"/>
      <c r="I3" s="105"/>
      <c r="J3" s="105"/>
      <c r="K3" s="105" t="s">
        <v>4</v>
      </c>
      <c r="L3" s="105"/>
      <c r="M3" s="105"/>
    </row>
    <row r="4" spans="2:13" ht="12.75">
      <c r="B4" s="6">
        <v>1</v>
      </c>
      <c r="C4" s="8">
        <v>2</v>
      </c>
      <c r="D4" s="8">
        <v>3</v>
      </c>
      <c r="E4" s="8">
        <v>4</v>
      </c>
      <c r="F4" s="6">
        <v>5</v>
      </c>
      <c r="G4" s="8">
        <v>6</v>
      </c>
      <c r="H4" s="6">
        <v>7</v>
      </c>
      <c r="I4" s="8">
        <v>8</v>
      </c>
      <c r="J4" s="6">
        <v>9</v>
      </c>
      <c r="K4" s="8">
        <v>10</v>
      </c>
      <c r="L4" s="6">
        <v>11</v>
      </c>
      <c r="M4" s="8">
        <v>12</v>
      </c>
    </row>
    <row r="5" spans="2:13" ht="12.75">
      <c r="B5" s="24" t="s">
        <v>5</v>
      </c>
      <c r="C5" s="25">
        <f>101609427892.71</f>
        <v>101609427892.71</v>
      </c>
      <c r="D5" s="25">
        <f>48931671471.51</f>
        <v>48931671471.51</v>
      </c>
      <c r="E5" s="25">
        <f>46186308725.76</f>
        <v>46186308725.76</v>
      </c>
      <c r="F5" s="25">
        <f>246767557.61</f>
        <v>246767557.61</v>
      </c>
      <c r="G5" s="25">
        <f>80602563.72</f>
        <v>80602563.72</v>
      </c>
      <c r="H5" s="25">
        <f>8007109.99</f>
        <v>8007109.99</v>
      </c>
      <c r="I5" s="25">
        <f>85888123.63</f>
        <v>85888123.63</v>
      </c>
      <c r="J5" s="25">
        <f>4487274.81</f>
        <v>4487274.81</v>
      </c>
      <c r="K5" s="26">
        <f aca="true" t="shared" si="0" ref="K5:K63">IF($D$5=0,"",100*$D5/$D$5)</f>
        <v>100</v>
      </c>
      <c r="L5" s="26">
        <f aca="true" t="shared" si="1" ref="L5:L63">IF(C5=0,"",100*D5/C5)</f>
        <v>48.15662531155794</v>
      </c>
      <c r="M5" s="26"/>
    </row>
    <row r="6" spans="2:13" ht="25.5" customHeight="1">
      <c r="B6" s="24" t="s">
        <v>64</v>
      </c>
      <c r="C6" s="25">
        <f>C5-C23-C50</f>
        <v>57331449248.96001</v>
      </c>
      <c r="D6" s="25">
        <f>D5-D23-D50</f>
        <v>25587541358.67</v>
      </c>
      <c r="E6" s="25">
        <f>E5-E23-E50</f>
        <v>24241314911.6</v>
      </c>
      <c r="F6" s="25">
        <f>F5</f>
        <v>246767557.61</v>
      </c>
      <c r="G6" s="25">
        <f>G5</f>
        <v>80602563.72</v>
      </c>
      <c r="H6" s="25">
        <f>H5</f>
        <v>8007109.99</v>
      </c>
      <c r="I6" s="25">
        <f>I5</f>
        <v>85888123.63</v>
      </c>
      <c r="J6" s="25">
        <f>J5</f>
        <v>4487274.81</v>
      </c>
      <c r="K6" s="26">
        <f t="shared" si="0"/>
        <v>52.29239179693279</v>
      </c>
      <c r="L6" s="26">
        <f t="shared" si="1"/>
        <v>44.63089926011971</v>
      </c>
      <c r="M6" s="26">
        <f aca="true" t="shared" si="2" ref="M6:M22">IF($D$6=0,"",100*$D6/$D$6)</f>
        <v>100.00000000000001</v>
      </c>
    </row>
    <row r="7" spans="2:13" ht="33.75">
      <c r="B7" s="27" t="s">
        <v>65</v>
      </c>
      <c r="C7" s="28">
        <f>2082811696</f>
        <v>2082811696</v>
      </c>
      <c r="D7" s="28">
        <f>1193205520.95</f>
        <v>1193205520.95</v>
      </c>
      <c r="E7" s="28">
        <f>1212932219.34</f>
        <v>1212932219.34</v>
      </c>
      <c r="F7" s="28">
        <f>0</f>
        <v>0</v>
      </c>
      <c r="G7" s="28">
        <f>0</f>
        <v>0</v>
      </c>
      <c r="H7" s="28">
        <f>0</f>
        <v>0</v>
      </c>
      <c r="I7" s="28">
        <f>0</f>
        <v>0</v>
      </c>
      <c r="J7" s="28">
        <f>0</f>
        <v>0</v>
      </c>
      <c r="K7" s="29">
        <f t="shared" si="0"/>
        <v>2.438513717326686</v>
      </c>
      <c r="L7" s="29">
        <f t="shared" si="1"/>
        <v>57.28820916655732</v>
      </c>
      <c r="M7" s="29">
        <f t="shared" si="2"/>
        <v>4.663228499465418</v>
      </c>
    </row>
    <row r="8" spans="2:13" ht="33.75">
      <c r="B8" s="30" t="s">
        <v>66</v>
      </c>
      <c r="C8" s="31">
        <f>561241659.75</f>
        <v>561241659.75</v>
      </c>
      <c r="D8" s="31">
        <f>248680577.63</f>
        <v>248680577.63</v>
      </c>
      <c r="E8" s="31">
        <f>250620902.94</f>
        <v>250620902.94</v>
      </c>
      <c r="F8" s="31">
        <f>0</f>
        <v>0</v>
      </c>
      <c r="G8" s="31">
        <f>0</f>
        <v>0</v>
      </c>
      <c r="H8" s="31">
        <f>0</f>
        <v>0</v>
      </c>
      <c r="I8" s="31">
        <f>0</f>
        <v>0</v>
      </c>
      <c r="J8" s="31">
        <f>0</f>
        <v>0</v>
      </c>
      <c r="K8" s="29">
        <f t="shared" si="0"/>
        <v>0.5082200753652814</v>
      </c>
      <c r="L8" s="29">
        <f t="shared" si="1"/>
        <v>44.309001890695804</v>
      </c>
      <c r="M8" s="29">
        <f t="shared" si="2"/>
        <v>0.9718814877293316</v>
      </c>
    </row>
    <row r="9" spans="2:13" ht="33.75">
      <c r="B9" s="30" t="s">
        <v>67</v>
      </c>
      <c r="C9" s="31">
        <f>19498275493</f>
        <v>19498275493</v>
      </c>
      <c r="D9" s="31">
        <f>8387978558</f>
        <v>8387978558</v>
      </c>
      <c r="E9" s="31">
        <f>7318779310</f>
        <v>7318779310</v>
      </c>
      <c r="F9" s="31">
        <f>0</f>
        <v>0</v>
      </c>
      <c r="G9" s="31">
        <f>0</f>
        <v>0</v>
      </c>
      <c r="H9" s="31">
        <f>0</f>
        <v>0</v>
      </c>
      <c r="I9" s="31">
        <f>0</f>
        <v>0</v>
      </c>
      <c r="J9" s="31">
        <f>0</f>
        <v>0</v>
      </c>
      <c r="K9" s="29">
        <f t="shared" si="0"/>
        <v>17.14222773461524</v>
      </c>
      <c r="L9" s="29">
        <f t="shared" si="1"/>
        <v>43.01907910272032</v>
      </c>
      <c r="M9" s="29">
        <f t="shared" si="2"/>
        <v>32.781494870580225</v>
      </c>
    </row>
    <row r="10" spans="2:13" ht="33.75">
      <c r="B10" s="30" t="s">
        <v>68</v>
      </c>
      <c r="C10" s="31">
        <f>5234949487</f>
        <v>5234949487</v>
      </c>
      <c r="D10" s="31">
        <f>2253015379</f>
        <v>2253015379</v>
      </c>
      <c r="E10" s="31">
        <f>1971202640</f>
        <v>1971202640</v>
      </c>
      <c r="F10" s="31">
        <f>0</f>
        <v>0</v>
      </c>
      <c r="G10" s="31">
        <f>0</f>
        <v>0</v>
      </c>
      <c r="H10" s="31">
        <f>0</f>
        <v>0</v>
      </c>
      <c r="I10" s="31">
        <f>0</f>
        <v>0</v>
      </c>
      <c r="J10" s="31">
        <f>0</f>
        <v>0</v>
      </c>
      <c r="K10" s="29">
        <f t="shared" si="0"/>
        <v>4.60441123559778</v>
      </c>
      <c r="L10" s="29">
        <f t="shared" si="1"/>
        <v>43.03795833359872</v>
      </c>
      <c r="M10" s="29">
        <f t="shared" si="2"/>
        <v>8.805126477056366</v>
      </c>
    </row>
    <row r="11" spans="2:13" ht="12.75">
      <c r="B11" s="30" t="s">
        <v>19</v>
      </c>
      <c r="C11" s="31">
        <f>21898090</f>
        <v>21898090</v>
      </c>
      <c r="D11" s="31">
        <f>14709434.8</f>
        <v>14709434.8</v>
      </c>
      <c r="E11" s="31">
        <f>14703737.78</f>
        <v>14703737.78</v>
      </c>
      <c r="F11" s="31">
        <f>511401.86</f>
        <v>511401.86</v>
      </c>
      <c r="G11" s="31">
        <f>3685.72</f>
        <v>3685.72</v>
      </c>
      <c r="H11" s="31">
        <f>1931.85</f>
        <v>1931.85</v>
      </c>
      <c r="I11" s="31">
        <f>43572.66</f>
        <v>43572.66</v>
      </c>
      <c r="J11" s="31">
        <f>0</f>
        <v>0</v>
      </c>
      <c r="K11" s="29">
        <f t="shared" si="0"/>
        <v>0.030061173791221148</v>
      </c>
      <c r="L11" s="29">
        <f t="shared" si="1"/>
        <v>67.17222734950856</v>
      </c>
      <c r="M11" s="29">
        <f t="shared" si="2"/>
        <v>0.057486706494431924</v>
      </c>
    </row>
    <row r="12" spans="2:13" ht="12.75">
      <c r="B12" s="30" t="s">
        <v>20</v>
      </c>
      <c r="C12" s="31">
        <f>9332071509</f>
        <v>9332071509</v>
      </c>
      <c r="D12" s="32">
        <f>4575183192.05</f>
        <v>4575183192.05</v>
      </c>
      <c r="E12" s="31">
        <f>4575109774.65</f>
        <v>4575109774.65</v>
      </c>
      <c r="F12" s="31">
        <f>113028417.15</f>
        <v>113028417.15</v>
      </c>
      <c r="G12" s="31">
        <f>78692855.99</f>
        <v>78692855.99</v>
      </c>
      <c r="H12" s="31">
        <f>7024863.54</f>
        <v>7024863.54</v>
      </c>
      <c r="I12" s="31">
        <f>75691418.97</f>
        <v>75691418.97</v>
      </c>
      <c r="J12" s="31">
        <f>4140751.29</f>
        <v>4140751.29</v>
      </c>
      <c r="K12" s="29">
        <f t="shared" si="0"/>
        <v>9.35014695893611</v>
      </c>
      <c r="L12" s="29">
        <f t="shared" si="1"/>
        <v>49.026448068230295</v>
      </c>
      <c r="M12" s="29">
        <f t="shared" si="2"/>
        <v>17.880511175020573</v>
      </c>
    </row>
    <row r="13" spans="2:13" ht="12.75">
      <c r="B13" s="30" t="s">
        <v>21</v>
      </c>
      <c r="C13" s="31">
        <f>4599930</f>
        <v>4599930</v>
      </c>
      <c r="D13" s="32">
        <f>2547171.4</f>
        <v>2547171.4</v>
      </c>
      <c r="E13" s="31">
        <f>2547163.26</f>
        <v>2547163.26</v>
      </c>
      <c r="F13" s="31">
        <f>2.26</f>
        <v>2.26</v>
      </c>
      <c r="G13" s="31">
        <f>11679.36</f>
        <v>11679.36</v>
      </c>
      <c r="H13" s="31">
        <f>1371.38</f>
        <v>1371.38</v>
      </c>
      <c r="I13" s="31">
        <f>1085.15</f>
        <v>1085.15</v>
      </c>
      <c r="J13" s="31">
        <f>0</f>
        <v>0</v>
      </c>
      <c r="K13" s="29">
        <f t="shared" si="0"/>
        <v>0.005205567934631185</v>
      </c>
      <c r="L13" s="29">
        <f t="shared" si="1"/>
        <v>55.37413395421235</v>
      </c>
      <c r="M13" s="29">
        <f t="shared" si="2"/>
        <v>0.009954732908079598</v>
      </c>
    </row>
    <row r="14" spans="2:13" ht="22.5">
      <c r="B14" s="30" t="s">
        <v>22</v>
      </c>
      <c r="C14" s="31">
        <f>357861295</f>
        <v>357861295</v>
      </c>
      <c r="D14" s="32">
        <f>182798222.84</f>
        <v>182798222.84</v>
      </c>
      <c r="E14" s="31">
        <f>182796251.11</f>
        <v>182796251.11</v>
      </c>
      <c r="F14" s="31">
        <f>132999197.49</f>
        <v>132999197.49</v>
      </c>
      <c r="G14" s="31">
        <f>64215.92</f>
        <v>64215.92</v>
      </c>
      <c r="H14" s="31">
        <f>83538.62</f>
        <v>83538.62</v>
      </c>
      <c r="I14" s="31">
        <f>1011108.08</f>
        <v>1011108.08</v>
      </c>
      <c r="J14" s="31">
        <f>0</f>
        <v>0</v>
      </c>
      <c r="K14" s="29">
        <f t="shared" si="0"/>
        <v>0.37357853787282236</v>
      </c>
      <c r="L14" s="29">
        <f t="shared" si="1"/>
        <v>51.08074703636223</v>
      </c>
      <c r="M14" s="29">
        <f t="shared" si="2"/>
        <v>0.7144032335019999</v>
      </c>
    </row>
    <row r="15" spans="2:13" ht="33.75">
      <c r="B15" s="30" t="s">
        <v>41</v>
      </c>
      <c r="C15" s="31">
        <f>27895445</f>
        <v>27895445</v>
      </c>
      <c r="D15" s="32">
        <f>12731084.67</f>
        <v>12731084.67</v>
      </c>
      <c r="E15" s="31">
        <f>12800277.74</f>
        <v>12800277.74</v>
      </c>
      <c r="F15" s="31">
        <f>0</f>
        <v>0</v>
      </c>
      <c r="G15" s="31">
        <f>0</f>
        <v>0</v>
      </c>
      <c r="H15" s="31">
        <f>2281</f>
        <v>2281</v>
      </c>
      <c r="I15" s="31">
        <f>347232.17</f>
        <v>347232.17</v>
      </c>
      <c r="J15" s="31">
        <f>0</f>
        <v>0</v>
      </c>
      <c r="K15" s="29">
        <f t="shared" si="0"/>
        <v>0.026018086623941616</v>
      </c>
      <c r="L15" s="29">
        <f t="shared" si="1"/>
        <v>45.63857887909657</v>
      </c>
      <c r="M15" s="29">
        <f t="shared" si="2"/>
        <v>0.0497550135495384</v>
      </c>
    </row>
    <row r="16" spans="2:13" ht="22.5" customHeight="1">
      <c r="B16" s="30" t="s">
        <v>27</v>
      </c>
      <c r="C16" s="31">
        <f>161185503.89</f>
        <v>161185503.89</v>
      </c>
      <c r="D16" s="32">
        <f>78822459</f>
        <v>78822459</v>
      </c>
      <c r="E16" s="31">
        <f>78180036.59</f>
        <v>78180036.59</v>
      </c>
      <c r="F16" s="31">
        <f>0</f>
        <v>0</v>
      </c>
      <c r="G16" s="31">
        <f>0</f>
        <v>0</v>
      </c>
      <c r="H16" s="31">
        <f>349834.64</f>
        <v>349834.64</v>
      </c>
      <c r="I16" s="31">
        <f>2908507.06</f>
        <v>2908507.06</v>
      </c>
      <c r="J16" s="31">
        <f>0</f>
        <v>0</v>
      </c>
      <c r="K16" s="29">
        <f t="shared" si="0"/>
        <v>0.16108679027221381</v>
      </c>
      <c r="L16" s="29">
        <f t="shared" si="1"/>
        <v>48.901704618420204</v>
      </c>
      <c r="M16" s="29">
        <f t="shared" si="2"/>
        <v>0.3080501479025145</v>
      </c>
    </row>
    <row r="17" spans="2:13" ht="22.5" customHeight="1">
      <c r="B17" s="30" t="s">
        <v>28</v>
      </c>
      <c r="C17" s="31">
        <f>1478791980</f>
        <v>1478791980</v>
      </c>
      <c r="D17" s="32">
        <f>741382268.08</f>
        <v>741382268.08</v>
      </c>
      <c r="E17" s="31">
        <f>742810094.07</f>
        <v>742810094.07</v>
      </c>
      <c r="F17" s="31">
        <f>0</f>
        <v>0</v>
      </c>
      <c r="G17" s="31">
        <f>0</f>
        <v>0</v>
      </c>
      <c r="H17" s="31">
        <f>6913.12</f>
        <v>6913.12</v>
      </c>
      <c r="I17" s="31">
        <f>233221.57</f>
        <v>233221.57</v>
      </c>
      <c r="J17" s="31">
        <f>0</f>
        <v>0</v>
      </c>
      <c r="K17" s="29">
        <f t="shared" si="0"/>
        <v>1.5151378356483545</v>
      </c>
      <c r="L17" s="29">
        <f t="shared" si="1"/>
        <v>50.13431761240685</v>
      </c>
      <c r="M17" s="29">
        <f t="shared" si="2"/>
        <v>2.8974345666423025</v>
      </c>
    </row>
    <row r="18" spans="2:13" ht="12.75">
      <c r="B18" s="30" t="s">
        <v>55</v>
      </c>
      <c r="C18" s="31">
        <f>321803952</f>
        <v>321803952</v>
      </c>
      <c r="D18" s="32">
        <f>144917559.69</f>
        <v>144917559.69</v>
      </c>
      <c r="E18" s="31">
        <f>144802615.68</f>
        <v>144802615.68</v>
      </c>
      <c r="F18" s="31">
        <f>0</f>
        <v>0</v>
      </c>
      <c r="G18" s="31">
        <f>0</f>
        <v>0</v>
      </c>
      <c r="H18" s="31">
        <f>4502</f>
        <v>4502</v>
      </c>
      <c r="I18" s="31">
        <f>0</f>
        <v>0</v>
      </c>
      <c r="J18" s="31">
        <f>0</f>
        <v>0</v>
      </c>
      <c r="K18" s="29">
        <f t="shared" si="0"/>
        <v>0.2961631093562313</v>
      </c>
      <c r="L18" s="29">
        <f t="shared" si="1"/>
        <v>45.03287134584351</v>
      </c>
      <c r="M18" s="29">
        <f t="shared" si="2"/>
        <v>0.5663598454366411</v>
      </c>
    </row>
    <row r="19" spans="2:13" ht="12.75">
      <c r="B19" s="30" t="s">
        <v>56</v>
      </c>
      <c r="C19" s="31">
        <f>9338590</f>
        <v>9338590</v>
      </c>
      <c r="D19" s="32">
        <f>5225087.91</f>
        <v>5225087.91</v>
      </c>
      <c r="E19" s="31">
        <f>5225087.91</f>
        <v>5225087.91</v>
      </c>
      <c r="F19" s="31">
        <f>0</f>
        <v>0</v>
      </c>
      <c r="G19" s="31">
        <f>0</f>
        <v>0</v>
      </c>
      <c r="H19" s="31">
        <f>0</f>
        <v>0</v>
      </c>
      <c r="I19" s="31">
        <f>0</f>
        <v>0</v>
      </c>
      <c r="J19" s="31">
        <f>0</f>
        <v>0</v>
      </c>
      <c r="K19" s="29">
        <f t="shared" si="0"/>
        <v>0.010678335223112616</v>
      </c>
      <c r="L19" s="29">
        <f t="shared" si="1"/>
        <v>55.95157202532717</v>
      </c>
      <c r="M19" s="29">
        <f t="shared" si="2"/>
        <v>0.02042043757451338</v>
      </c>
    </row>
    <row r="20" spans="2:13" ht="12.75">
      <c r="B20" s="30" t="s">
        <v>57</v>
      </c>
      <c r="C20" s="31">
        <f>19903288</f>
        <v>19903288</v>
      </c>
      <c r="D20" s="32">
        <f>6815655.65</f>
        <v>6815655.65</v>
      </c>
      <c r="E20" s="31">
        <f>6783794.05</f>
        <v>6783794.05</v>
      </c>
      <c r="F20" s="31">
        <f>0</f>
        <v>0</v>
      </c>
      <c r="G20" s="31">
        <f>0</f>
        <v>0</v>
      </c>
      <c r="H20" s="31">
        <f>1863</f>
        <v>1863</v>
      </c>
      <c r="I20" s="31">
        <f>25011.8</f>
        <v>25011.8</v>
      </c>
      <c r="J20" s="31">
        <f>0</f>
        <v>0</v>
      </c>
      <c r="K20" s="29">
        <f t="shared" si="0"/>
        <v>0.013928924651528306</v>
      </c>
      <c r="L20" s="29">
        <f t="shared" si="1"/>
        <v>34.24386789760566</v>
      </c>
      <c r="M20" s="29">
        <f t="shared" si="2"/>
        <v>0.026636618010548348</v>
      </c>
    </row>
    <row r="21" spans="2:13" ht="12.75">
      <c r="B21" s="30" t="s">
        <v>23</v>
      </c>
      <c r="C21" s="31">
        <f>4664547962.47</f>
        <v>4664547962.47</v>
      </c>
      <c r="D21" s="32">
        <f>1766537571.15</f>
        <v>1766537571.15</v>
      </c>
      <c r="E21" s="31">
        <f>1765402266.05</f>
        <v>1765402266.05</v>
      </c>
      <c r="F21" s="31">
        <f>0</f>
        <v>0</v>
      </c>
      <c r="G21" s="31">
        <f>7083.19</f>
        <v>7083.19</v>
      </c>
      <c r="H21" s="31">
        <f>0</f>
        <v>0</v>
      </c>
      <c r="I21" s="31">
        <f>0</f>
        <v>0</v>
      </c>
      <c r="J21" s="31">
        <f>0</f>
        <v>0</v>
      </c>
      <c r="K21" s="29">
        <f t="shared" si="0"/>
        <v>3.6102130134233197</v>
      </c>
      <c r="L21" s="29">
        <f t="shared" si="1"/>
        <v>37.871570522228524</v>
      </c>
      <c r="M21" s="29">
        <f t="shared" si="2"/>
        <v>6.903897277146686</v>
      </c>
    </row>
    <row r="22" spans="2:13" ht="13.5" customHeight="1">
      <c r="B22" s="30" t="s">
        <v>24</v>
      </c>
      <c r="C22" s="31">
        <f>C6-SUM(C7:C21)</f>
        <v>13554273367.850006</v>
      </c>
      <c r="D22" s="31">
        <f aca="true" t="shared" si="3" ref="D22:J22">D6-SUM(D7:D21)</f>
        <v>5972991615.849995</v>
      </c>
      <c r="E22" s="31">
        <f t="shared" si="3"/>
        <v>5956618740.4299965</v>
      </c>
      <c r="F22" s="31">
        <f t="shared" si="3"/>
        <v>228538.85000002384</v>
      </c>
      <c r="G22" s="31">
        <f t="shared" si="3"/>
        <v>1823043.5400000066</v>
      </c>
      <c r="H22" s="31">
        <f t="shared" si="3"/>
        <v>530010.8400000008</v>
      </c>
      <c r="I22" s="31">
        <f t="shared" si="3"/>
        <v>5626966.170000002</v>
      </c>
      <c r="J22" s="31">
        <f t="shared" si="3"/>
        <v>346523.51999999955</v>
      </c>
      <c r="K22" s="29">
        <f t="shared" si="0"/>
        <v>12.206800700294313</v>
      </c>
      <c r="L22" s="29">
        <f t="shared" si="1"/>
        <v>44.06722111727217</v>
      </c>
      <c r="M22" s="29">
        <f t="shared" si="2"/>
        <v>23.343358910980818</v>
      </c>
    </row>
    <row r="23" spans="2:13" ht="26.25" customHeight="1">
      <c r="B23" s="24" t="s">
        <v>76</v>
      </c>
      <c r="C23" s="25">
        <f>C24+C46+C48</f>
        <v>25827305271.75</v>
      </c>
      <c r="D23" s="25">
        <f>D24+D46+D48</f>
        <v>12183292965.84</v>
      </c>
      <c r="E23" s="25">
        <f>E24+E46+E48</f>
        <v>12095657824.160002</v>
      </c>
      <c r="F23" s="33" t="s">
        <v>63</v>
      </c>
      <c r="G23" s="33" t="s">
        <v>63</v>
      </c>
      <c r="H23" s="33" t="s">
        <v>63</v>
      </c>
      <c r="I23" s="33" t="s">
        <v>63</v>
      </c>
      <c r="J23" s="33" t="s">
        <v>63</v>
      </c>
      <c r="K23" s="26">
        <f t="shared" si="0"/>
        <v>24.89858326816734</v>
      </c>
      <c r="L23" s="26">
        <f t="shared" si="1"/>
        <v>47.17214141254655</v>
      </c>
      <c r="M23" s="34"/>
    </row>
    <row r="24" spans="2:13" ht="25.5" customHeight="1">
      <c r="B24" s="24" t="s">
        <v>69</v>
      </c>
      <c r="C24" s="25">
        <f>C25+C32+C39</f>
        <v>19142605681.8</v>
      </c>
      <c r="D24" s="25">
        <f>D25+D32+D39</f>
        <v>10182848374.62</v>
      </c>
      <c r="E24" s="25">
        <f>E25+E32+E39</f>
        <v>10099211102.410002</v>
      </c>
      <c r="F24" s="33" t="s">
        <v>63</v>
      </c>
      <c r="G24" s="33" t="s">
        <v>63</v>
      </c>
      <c r="H24" s="33" t="s">
        <v>63</v>
      </c>
      <c r="I24" s="33" t="s">
        <v>63</v>
      </c>
      <c r="J24" s="33" t="s">
        <v>63</v>
      </c>
      <c r="K24" s="26">
        <f t="shared" si="0"/>
        <v>20.810342398683165</v>
      </c>
      <c r="L24" s="26">
        <f t="shared" si="1"/>
        <v>53.19468281322555</v>
      </c>
      <c r="M24" s="35"/>
    </row>
    <row r="25" spans="2:13" ht="13.5" customHeight="1">
      <c r="B25" s="36" t="s">
        <v>58</v>
      </c>
      <c r="C25" s="25">
        <f>C26+C28+C30</f>
        <v>16472603688.62</v>
      </c>
      <c r="D25" s="25">
        <f>D26+D28+D30</f>
        <v>8745347906.83</v>
      </c>
      <c r="E25" s="25">
        <f>E26+E28+E30</f>
        <v>8723928595.67</v>
      </c>
      <c r="F25" s="33" t="s">
        <v>63</v>
      </c>
      <c r="G25" s="33" t="s">
        <v>63</v>
      </c>
      <c r="H25" s="33" t="s">
        <v>63</v>
      </c>
      <c r="I25" s="33" t="s">
        <v>63</v>
      </c>
      <c r="J25" s="33" t="s">
        <v>63</v>
      </c>
      <c r="K25" s="26">
        <f t="shared" si="0"/>
        <v>17.872571371124927</v>
      </c>
      <c r="L25" s="26">
        <f t="shared" si="1"/>
        <v>53.090258663065335</v>
      </c>
      <c r="M25" s="35"/>
    </row>
    <row r="26" spans="2:13" ht="22.5" customHeight="1">
      <c r="B26" s="30" t="s">
        <v>9</v>
      </c>
      <c r="C26" s="28">
        <f>15181397691.09</f>
        <v>15181397691.09</v>
      </c>
      <c r="D26" s="37">
        <f>8052282771.85</f>
        <v>8052282771.85</v>
      </c>
      <c r="E26" s="28">
        <f>8036712223.2</f>
        <v>8036712223.2</v>
      </c>
      <c r="F26" s="28" t="s">
        <v>63</v>
      </c>
      <c r="G26" s="28" t="s">
        <v>63</v>
      </c>
      <c r="H26" s="28" t="s">
        <v>63</v>
      </c>
      <c r="I26" s="28" t="s">
        <v>63</v>
      </c>
      <c r="J26" s="28" t="s">
        <v>63</v>
      </c>
      <c r="K26" s="29">
        <f t="shared" si="0"/>
        <v>16.456177624216995</v>
      </c>
      <c r="L26" s="29">
        <f t="shared" si="1"/>
        <v>53.04045737880844</v>
      </c>
      <c r="M26" s="35"/>
    </row>
    <row r="27" spans="2:13" ht="12.75">
      <c r="B27" s="30" t="s">
        <v>6</v>
      </c>
      <c r="C27" s="31">
        <f>4027464.68</f>
        <v>4027464.68</v>
      </c>
      <c r="D27" s="31">
        <f>1689711.68</f>
        <v>1689711.68</v>
      </c>
      <c r="E27" s="31">
        <f>1689711.68</f>
        <v>1689711.68</v>
      </c>
      <c r="F27" s="31" t="s">
        <v>63</v>
      </c>
      <c r="G27" s="31" t="s">
        <v>63</v>
      </c>
      <c r="H27" s="31" t="s">
        <v>63</v>
      </c>
      <c r="I27" s="31" t="s">
        <v>63</v>
      </c>
      <c r="J27" s="31" t="s">
        <v>63</v>
      </c>
      <c r="K27" s="29">
        <f t="shared" si="0"/>
        <v>0.003453206541255838</v>
      </c>
      <c r="L27" s="29">
        <f t="shared" si="1"/>
        <v>41.95472373453564</v>
      </c>
      <c r="M27" s="35"/>
    </row>
    <row r="28" spans="2:13" ht="13.5" customHeight="1">
      <c r="B28" s="30" t="s">
        <v>7</v>
      </c>
      <c r="C28" s="31">
        <f>1276537816.53</f>
        <v>1276537816.53</v>
      </c>
      <c r="D28" s="32">
        <f>684495468.41</f>
        <v>684495468.41</v>
      </c>
      <c r="E28" s="31">
        <f>678701084.89</f>
        <v>678701084.89</v>
      </c>
      <c r="F28" s="31" t="s">
        <v>63</v>
      </c>
      <c r="G28" s="31" t="s">
        <v>63</v>
      </c>
      <c r="H28" s="31" t="s">
        <v>63</v>
      </c>
      <c r="I28" s="31" t="s">
        <v>63</v>
      </c>
      <c r="J28" s="31" t="s">
        <v>63</v>
      </c>
      <c r="K28" s="29">
        <f t="shared" si="0"/>
        <v>1.398880209535742</v>
      </c>
      <c r="L28" s="29">
        <f t="shared" si="1"/>
        <v>53.62124486610645</v>
      </c>
      <c r="M28" s="35"/>
    </row>
    <row r="29" spans="2:13" ht="12.75">
      <c r="B29" s="30" t="s">
        <v>6</v>
      </c>
      <c r="C29" s="31">
        <f>28335391.87</f>
        <v>28335391.87</v>
      </c>
      <c r="D29" s="31">
        <f>2550000</f>
        <v>2550000</v>
      </c>
      <c r="E29" s="31">
        <f>2405775.69</f>
        <v>2405775.69</v>
      </c>
      <c r="F29" s="31" t="s">
        <v>63</v>
      </c>
      <c r="G29" s="31" t="s">
        <v>63</v>
      </c>
      <c r="H29" s="31" t="s">
        <v>63</v>
      </c>
      <c r="I29" s="31" t="s">
        <v>63</v>
      </c>
      <c r="J29" s="31" t="s">
        <v>63</v>
      </c>
      <c r="K29" s="29">
        <f t="shared" si="0"/>
        <v>0.005211348648665544</v>
      </c>
      <c r="L29" s="29">
        <f t="shared" si="1"/>
        <v>8.999346159386642</v>
      </c>
      <c r="M29" s="35"/>
    </row>
    <row r="30" spans="2:13" ht="33.75">
      <c r="B30" s="30" t="s">
        <v>10</v>
      </c>
      <c r="C30" s="31">
        <f>14668181</f>
        <v>14668181</v>
      </c>
      <c r="D30" s="32">
        <f>8569666.57</f>
        <v>8569666.57</v>
      </c>
      <c r="E30" s="31">
        <f>8515287.58</f>
        <v>8515287.58</v>
      </c>
      <c r="F30" s="31" t="s">
        <v>63</v>
      </c>
      <c r="G30" s="31" t="s">
        <v>63</v>
      </c>
      <c r="H30" s="31" t="s">
        <v>63</v>
      </c>
      <c r="I30" s="31" t="s">
        <v>63</v>
      </c>
      <c r="J30" s="31" t="s">
        <v>63</v>
      </c>
      <c r="K30" s="29">
        <f t="shared" si="0"/>
        <v>0.01751353737218972</v>
      </c>
      <c r="L30" s="29">
        <f t="shared" si="1"/>
        <v>58.42351256778192</v>
      </c>
      <c r="M30" s="35"/>
    </row>
    <row r="31" spans="2:13" ht="12.75">
      <c r="B31" s="30" t="s">
        <v>6</v>
      </c>
      <c r="C31" s="31">
        <f>1258065</f>
        <v>1258065</v>
      </c>
      <c r="D31" s="31">
        <f>500715</f>
        <v>500715</v>
      </c>
      <c r="E31" s="31">
        <f>500715</f>
        <v>500715</v>
      </c>
      <c r="F31" s="31" t="s">
        <v>63</v>
      </c>
      <c r="G31" s="31" t="s">
        <v>63</v>
      </c>
      <c r="H31" s="31" t="s">
        <v>63</v>
      </c>
      <c r="I31" s="31" t="s">
        <v>63</v>
      </c>
      <c r="J31" s="31" t="s">
        <v>63</v>
      </c>
      <c r="K31" s="29">
        <f t="shared" si="0"/>
        <v>0.001023294289653556</v>
      </c>
      <c r="L31" s="29">
        <f t="shared" si="1"/>
        <v>39.800407769073935</v>
      </c>
      <c r="M31" s="35"/>
    </row>
    <row r="32" spans="2:13" ht="13.5" customHeight="1">
      <c r="B32" s="38" t="s">
        <v>59</v>
      </c>
      <c r="C32" s="25">
        <f>C33+C35+C37</f>
        <v>2020226193.13</v>
      </c>
      <c r="D32" s="25">
        <f>D33+D35+D37</f>
        <v>1185884466</v>
      </c>
      <c r="E32" s="25">
        <f>E33+E35+E37</f>
        <v>1124767525.7</v>
      </c>
      <c r="F32" s="33" t="s">
        <v>63</v>
      </c>
      <c r="G32" s="33" t="s">
        <v>63</v>
      </c>
      <c r="H32" s="33" t="s">
        <v>63</v>
      </c>
      <c r="I32" s="33" t="s">
        <v>63</v>
      </c>
      <c r="J32" s="33" t="s">
        <v>63</v>
      </c>
      <c r="K32" s="26">
        <f t="shared" si="0"/>
        <v>2.42355192524022</v>
      </c>
      <c r="L32" s="26">
        <f t="shared" si="1"/>
        <v>58.70057867939391</v>
      </c>
      <c r="M32" s="35"/>
    </row>
    <row r="33" spans="2:13" ht="22.5">
      <c r="B33" s="30" t="s">
        <v>9</v>
      </c>
      <c r="C33" s="31">
        <f>1739328332.8</f>
        <v>1739328332.8</v>
      </c>
      <c r="D33" s="31">
        <f>1031019928.83</f>
        <v>1031019928.83</v>
      </c>
      <c r="E33" s="31">
        <f>970805831.07</f>
        <v>970805831.07</v>
      </c>
      <c r="F33" s="31" t="s">
        <v>63</v>
      </c>
      <c r="G33" s="31" t="s">
        <v>63</v>
      </c>
      <c r="H33" s="31" t="s">
        <v>63</v>
      </c>
      <c r="I33" s="31" t="s">
        <v>63</v>
      </c>
      <c r="J33" s="31" t="s">
        <v>63</v>
      </c>
      <c r="K33" s="29">
        <f t="shared" si="0"/>
        <v>2.107060514845281</v>
      </c>
      <c r="L33" s="29">
        <f t="shared" si="1"/>
        <v>59.27690070857679</v>
      </c>
      <c r="M33" s="35"/>
    </row>
    <row r="34" spans="2:13" ht="12.75">
      <c r="B34" s="30" t="s">
        <v>6</v>
      </c>
      <c r="C34" s="31">
        <f>38083055</f>
        <v>38083055</v>
      </c>
      <c r="D34" s="32">
        <f>22623081.68</f>
        <v>22623081.68</v>
      </c>
      <c r="E34" s="31">
        <f>22623080.09</f>
        <v>22623080.09</v>
      </c>
      <c r="F34" s="31" t="s">
        <v>63</v>
      </c>
      <c r="G34" s="31" t="s">
        <v>63</v>
      </c>
      <c r="H34" s="31" t="s">
        <v>63</v>
      </c>
      <c r="I34" s="31" t="s">
        <v>63</v>
      </c>
      <c r="J34" s="31" t="s">
        <v>63</v>
      </c>
      <c r="K34" s="29">
        <f t="shared" si="0"/>
        <v>0.04623402593792872</v>
      </c>
      <c r="L34" s="29">
        <f t="shared" si="1"/>
        <v>59.404587368319056</v>
      </c>
      <c r="M34" s="35"/>
    </row>
    <row r="35" spans="2:13" ht="13.5" customHeight="1">
      <c r="B35" s="30" t="s">
        <v>7</v>
      </c>
      <c r="C35" s="31">
        <f>229123381.68</f>
        <v>229123381.68</v>
      </c>
      <c r="D35" s="31">
        <f>112458713.94</f>
        <v>112458713.94</v>
      </c>
      <c r="E35" s="31">
        <f>112340498.49</f>
        <v>112340498.49</v>
      </c>
      <c r="F35" s="31" t="s">
        <v>63</v>
      </c>
      <c r="G35" s="31" t="s">
        <v>63</v>
      </c>
      <c r="H35" s="31" t="s">
        <v>63</v>
      </c>
      <c r="I35" s="31" t="s">
        <v>63</v>
      </c>
      <c r="J35" s="31" t="s">
        <v>63</v>
      </c>
      <c r="K35" s="29">
        <f t="shared" si="0"/>
        <v>0.22982806545956233</v>
      </c>
      <c r="L35" s="29">
        <f t="shared" si="1"/>
        <v>49.082163991915465</v>
      </c>
      <c r="M35" s="35"/>
    </row>
    <row r="36" spans="2:13" ht="12.75">
      <c r="B36" s="30" t="s">
        <v>6</v>
      </c>
      <c r="C36" s="31">
        <f>63173674</f>
        <v>63173674</v>
      </c>
      <c r="D36" s="32">
        <f>26800805.65</f>
        <v>26800805.65</v>
      </c>
      <c r="E36" s="31">
        <f>26758021.02</f>
        <v>26758021.02</v>
      </c>
      <c r="F36" s="31" t="s">
        <v>63</v>
      </c>
      <c r="G36" s="31" t="s">
        <v>63</v>
      </c>
      <c r="H36" s="31" t="s">
        <v>63</v>
      </c>
      <c r="I36" s="31" t="s">
        <v>63</v>
      </c>
      <c r="J36" s="31" t="s">
        <v>63</v>
      </c>
      <c r="K36" s="29">
        <f t="shared" si="0"/>
        <v>0.05477189894402956</v>
      </c>
      <c r="L36" s="29">
        <f t="shared" si="1"/>
        <v>42.4240098019311</v>
      </c>
      <c r="M36" s="35"/>
    </row>
    <row r="37" spans="2:13" ht="33.75">
      <c r="B37" s="30" t="s">
        <v>10</v>
      </c>
      <c r="C37" s="31">
        <f>51774478.65</f>
        <v>51774478.65</v>
      </c>
      <c r="D37" s="31">
        <f>42405823.23</f>
        <v>42405823.23</v>
      </c>
      <c r="E37" s="31">
        <f>41621196.14</f>
        <v>41621196.14</v>
      </c>
      <c r="F37" s="31" t="s">
        <v>63</v>
      </c>
      <c r="G37" s="31" t="s">
        <v>63</v>
      </c>
      <c r="H37" s="31" t="s">
        <v>63</v>
      </c>
      <c r="I37" s="31" t="s">
        <v>63</v>
      </c>
      <c r="J37" s="31" t="s">
        <v>63</v>
      </c>
      <c r="K37" s="29">
        <f t="shared" si="0"/>
        <v>0.08666334493537663</v>
      </c>
      <c r="L37" s="29">
        <f t="shared" si="1"/>
        <v>81.90487733670302</v>
      </c>
      <c r="M37" s="35"/>
    </row>
    <row r="38" spans="2:13" ht="12.75">
      <c r="B38" s="30" t="s">
        <v>6</v>
      </c>
      <c r="C38" s="31">
        <f>0</f>
        <v>0</v>
      </c>
      <c r="D38" s="32">
        <f>0</f>
        <v>0</v>
      </c>
      <c r="E38" s="31">
        <f>0</f>
        <v>0</v>
      </c>
      <c r="F38" s="31" t="s">
        <v>63</v>
      </c>
      <c r="G38" s="31" t="s">
        <v>63</v>
      </c>
      <c r="H38" s="31" t="s">
        <v>63</v>
      </c>
      <c r="I38" s="31" t="s">
        <v>63</v>
      </c>
      <c r="J38" s="31" t="s">
        <v>63</v>
      </c>
      <c r="K38" s="29">
        <f t="shared" si="0"/>
        <v>0</v>
      </c>
      <c r="L38" s="29">
        <f t="shared" si="1"/>
      </c>
      <c r="M38" s="35"/>
    </row>
    <row r="39" spans="2:13" ht="13.5" customHeight="1">
      <c r="B39" s="36" t="s">
        <v>60</v>
      </c>
      <c r="C39" s="25">
        <f>C40+C42+C44</f>
        <v>649775800.05</v>
      </c>
      <c r="D39" s="25">
        <f>D40+D42+D44</f>
        <v>251616001.79000002</v>
      </c>
      <c r="E39" s="25">
        <f>E40+E42+E44</f>
        <v>250514981.04</v>
      </c>
      <c r="F39" s="33" t="s">
        <v>63</v>
      </c>
      <c r="G39" s="33" t="s">
        <v>63</v>
      </c>
      <c r="H39" s="33" t="s">
        <v>63</v>
      </c>
      <c r="I39" s="33" t="s">
        <v>63</v>
      </c>
      <c r="J39" s="33" t="s">
        <v>63</v>
      </c>
      <c r="K39" s="26">
        <f t="shared" si="0"/>
        <v>0.5142191023180172</v>
      </c>
      <c r="L39" s="26">
        <f t="shared" si="1"/>
        <v>38.72351075103725</v>
      </c>
      <c r="M39" s="35"/>
    </row>
    <row r="40" spans="2:13" ht="22.5">
      <c r="B40" s="30" t="s">
        <v>11</v>
      </c>
      <c r="C40" s="28">
        <f>407510365.34</f>
        <v>407510365.34</v>
      </c>
      <c r="D40" s="37">
        <f>208499473.15</f>
        <v>208499473.15</v>
      </c>
      <c r="E40" s="28">
        <f>208099229.19</f>
        <v>208099229.19</v>
      </c>
      <c r="F40" s="28" t="s">
        <v>63</v>
      </c>
      <c r="G40" s="28" t="s">
        <v>63</v>
      </c>
      <c r="H40" s="28" t="s">
        <v>63</v>
      </c>
      <c r="I40" s="28" t="s">
        <v>63</v>
      </c>
      <c r="J40" s="28" t="s">
        <v>63</v>
      </c>
      <c r="K40" s="29">
        <f t="shared" si="0"/>
        <v>0.42610331280303154</v>
      </c>
      <c r="L40" s="29">
        <f t="shared" si="1"/>
        <v>51.164213449157714</v>
      </c>
      <c r="M40" s="35"/>
    </row>
    <row r="41" spans="2:13" ht="12.75">
      <c r="B41" s="30" t="s">
        <v>6</v>
      </c>
      <c r="C41" s="31">
        <f>4699904.82</f>
        <v>4699904.82</v>
      </c>
      <c r="D41" s="31">
        <f>2015647.81</f>
        <v>2015647.81</v>
      </c>
      <c r="E41" s="31">
        <f>2015647.81</f>
        <v>2015647.81</v>
      </c>
      <c r="F41" s="31" t="s">
        <v>63</v>
      </c>
      <c r="G41" s="31" t="s">
        <v>63</v>
      </c>
      <c r="H41" s="31" t="s">
        <v>63</v>
      </c>
      <c r="I41" s="31" t="s">
        <v>63</v>
      </c>
      <c r="J41" s="31" t="s">
        <v>63</v>
      </c>
      <c r="K41" s="29">
        <f t="shared" si="0"/>
        <v>0.004119311172874182</v>
      </c>
      <c r="L41" s="29">
        <f t="shared" si="1"/>
        <v>42.88699212423625</v>
      </c>
      <c r="M41" s="35"/>
    </row>
    <row r="42" spans="2:13" ht="24" customHeight="1">
      <c r="B42" s="30" t="s">
        <v>8</v>
      </c>
      <c r="C42" s="31">
        <f>148960456.21</f>
        <v>148960456.21</v>
      </c>
      <c r="D42" s="32">
        <f>20536338.9</f>
        <v>20536338.9</v>
      </c>
      <c r="E42" s="31">
        <f>20536338.9</f>
        <v>20536338.9</v>
      </c>
      <c r="F42" s="31" t="s">
        <v>63</v>
      </c>
      <c r="G42" s="31" t="s">
        <v>63</v>
      </c>
      <c r="H42" s="31" t="s">
        <v>63</v>
      </c>
      <c r="I42" s="31" t="s">
        <v>63</v>
      </c>
      <c r="J42" s="31" t="s">
        <v>63</v>
      </c>
      <c r="K42" s="29">
        <f t="shared" si="0"/>
        <v>0.041969420382373585</v>
      </c>
      <c r="L42" s="29">
        <f t="shared" si="1"/>
        <v>13.78643663057025</v>
      </c>
      <c r="M42" s="35"/>
    </row>
    <row r="43" spans="2:13" ht="12.75">
      <c r="B43" s="30" t="s">
        <v>6</v>
      </c>
      <c r="C43" s="31">
        <f>138481711.13</f>
        <v>138481711.13</v>
      </c>
      <c r="D43" s="31">
        <f>15784354.19</f>
        <v>15784354.19</v>
      </c>
      <c r="E43" s="31">
        <f>15784354.19</f>
        <v>15784354.19</v>
      </c>
      <c r="F43" s="31" t="s">
        <v>63</v>
      </c>
      <c r="G43" s="31" t="s">
        <v>63</v>
      </c>
      <c r="H43" s="31" t="s">
        <v>63</v>
      </c>
      <c r="I43" s="31" t="s">
        <v>63</v>
      </c>
      <c r="J43" s="31" t="s">
        <v>63</v>
      </c>
      <c r="K43" s="29">
        <f t="shared" si="0"/>
        <v>0.03225795014828032</v>
      </c>
      <c r="L43" s="29">
        <f t="shared" si="1"/>
        <v>11.398150745828382</v>
      </c>
      <c r="M43" s="35"/>
    </row>
    <row r="44" spans="2:13" ht="33.75">
      <c r="B44" s="30" t="s">
        <v>85</v>
      </c>
      <c r="C44" s="31">
        <f>93304978.5</f>
        <v>93304978.5</v>
      </c>
      <c r="D44" s="31">
        <f>22580189.74</f>
        <v>22580189.74</v>
      </c>
      <c r="E44" s="31">
        <f>21879412.95</f>
        <v>21879412.95</v>
      </c>
      <c r="F44" s="31" t="s">
        <v>63</v>
      </c>
      <c r="G44" s="31" t="s">
        <v>63</v>
      </c>
      <c r="H44" s="31" t="s">
        <v>63</v>
      </c>
      <c r="I44" s="31" t="s">
        <v>63</v>
      </c>
      <c r="J44" s="31" t="s">
        <v>63</v>
      </c>
      <c r="K44" s="29">
        <f t="shared" si="0"/>
        <v>0.04614636913261199</v>
      </c>
      <c r="L44" s="29">
        <f t="shared" si="1"/>
        <v>24.200412564266333</v>
      </c>
      <c r="M44" s="35"/>
    </row>
    <row r="45" spans="2:13" ht="12.75">
      <c r="B45" s="30" t="s">
        <v>6</v>
      </c>
      <c r="C45" s="31">
        <f>85071935</f>
        <v>85071935</v>
      </c>
      <c r="D45" s="31">
        <f>18529546.08</f>
        <v>18529546.08</v>
      </c>
      <c r="E45" s="31">
        <f>17828769.29</f>
        <v>17828769.29</v>
      </c>
      <c r="F45" s="31" t="s">
        <v>63</v>
      </c>
      <c r="G45" s="31" t="s">
        <v>63</v>
      </c>
      <c r="H45" s="31" t="s">
        <v>63</v>
      </c>
      <c r="I45" s="31" t="s">
        <v>63</v>
      </c>
      <c r="J45" s="31" t="s">
        <v>63</v>
      </c>
      <c r="K45" s="29">
        <f t="shared" si="0"/>
        <v>0.03786820585270349</v>
      </c>
      <c r="L45" s="29">
        <f t="shared" si="1"/>
        <v>21.781032816521687</v>
      </c>
      <c r="M45" s="35"/>
    </row>
    <row r="46" spans="2:13" ht="13.5" customHeight="1">
      <c r="B46" s="24" t="s">
        <v>101</v>
      </c>
      <c r="C46" s="25">
        <f>554192783.22</f>
        <v>554192783.22</v>
      </c>
      <c r="D46" s="25">
        <f>182963385.43</f>
        <v>182963385.43</v>
      </c>
      <c r="E46" s="25">
        <f>180409323.14</f>
        <v>180409323.14</v>
      </c>
      <c r="F46" s="33" t="s">
        <v>63</v>
      </c>
      <c r="G46" s="33" t="s">
        <v>63</v>
      </c>
      <c r="H46" s="33" t="s">
        <v>63</v>
      </c>
      <c r="I46" s="33" t="s">
        <v>63</v>
      </c>
      <c r="J46" s="33" t="s">
        <v>63</v>
      </c>
      <c r="K46" s="26">
        <f t="shared" si="0"/>
        <v>0.37391607506506025</v>
      </c>
      <c r="L46" s="26">
        <f t="shared" si="1"/>
        <v>33.0143933609053</v>
      </c>
      <c r="M46" s="35"/>
    </row>
    <row r="47" spans="2:13" ht="13.5" customHeight="1">
      <c r="B47" s="30" t="s">
        <v>102</v>
      </c>
      <c r="C47" s="31">
        <f>502833780.36</f>
        <v>502833780.36</v>
      </c>
      <c r="D47" s="31">
        <f>161010118.1</f>
        <v>161010118.1</v>
      </c>
      <c r="E47" s="31">
        <f>159648411</f>
        <v>159648411</v>
      </c>
      <c r="F47" s="31" t="s">
        <v>63</v>
      </c>
      <c r="G47" s="31" t="s">
        <v>63</v>
      </c>
      <c r="H47" s="31" t="s">
        <v>63</v>
      </c>
      <c r="I47" s="31" t="s">
        <v>63</v>
      </c>
      <c r="J47" s="31" t="s">
        <v>63</v>
      </c>
      <c r="K47" s="29">
        <f t="shared" si="0"/>
        <v>0.3290509260321234</v>
      </c>
      <c r="L47" s="29">
        <f t="shared" si="1"/>
        <v>32.020545235589786</v>
      </c>
      <c r="M47" s="35"/>
    </row>
    <row r="48" spans="2:13" ht="13.5" customHeight="1">
      <c r="B48" s="24" t="s">
        <v>103</v>
      </c>
      <c r="C48" s="33">
        <f>6130506806.73</f>
        <v>6130506806.73</v>
      </c>
      <c r="D48" s="33">
        <f>1817481205.79</f>
        <v>1817481205.79</v>
      </c>
      <c r="E48" s="33">
        <f>1816037398.61</f>
        <v>1816037398.61</v>
      </c>
      <c r="F48" s="33" t="s">
        <v>63</v>
      </c>
      <c r="G48" s="33" t="s">
        <v>63</v>
      </c>
      <c r="H48" s="33" t="s">
        <v>63</v>
      </c>
      <c r="I48" s="33" t="s">
        <v>63</v>
      </c>
      <c r="J48" s="33" t="s">
        <v>63</v>
      </c>
      <c r="K48" s="39">
        <f t="shared" si="0"/>
        <v>3.7143247944191136</v>
      </c>
      <c r="L48" s="39">
        <f t="shared" si="1"/>
        <v>29.64650824292031</v>
      </c>
      <c r="M48" s="35"/>
    </row>
    <row r="49" spans="2:13" ht="13.5" customHeight="1">
      <c r="B49" s="40" t="s">
        <v>104</v>
      </c>
      <c r="C49" s="41">
        <f>5433234334.5</f>
        <v>5433234334.5</v>
      </c>
      <c r="D49" s="41">
        <f>1520217819.95</f>
        <v>1520217819.95</v>
      </c>
      <c r="E49" s="41">
        <f>1519800242.53</f>
        <v>1519800242.53</v>
      </c>
      <c r="F49" s="41" t="s">
        <v>63</v>
      </c>
      <c r="G49" s="41" t="s">
        <v>63</v>
      </c>
      <c r="H49" s="41" t="s">
        <v>63</v>
      </c>
      <c r="I49" s="41" t="s">
        <v>63</v>
      </c>
      <c r="J49" s="41" t="s">
        <v>63</v>
      </c>
      <c r="K49" s="42">
        <f t="shared" si="0"/>
        <v>3.10681767908773</v>
      </c>
      <c r="L49" s="42">
        <f t="shared" si="1"/>
        <v>27.97997889207368</v>
      </c>
      <c r="M49" s="35"/>
    </row>
    <row r="50" spans="2:13" s="43" customFormat="1" ht="25.5" customHeight="1">
      <c r="B50" s="24" t="s">
        <v>70</v>
      </c>
      <c r="C50" s="25">
        <f>C51+C52+C53+C57</f>
        <v>18450673372</v>
      </c>
      <c r="D50" s="25">
        <f>D51+D52+D53+D57</f>
        <v>11160837147</v>
      </c>
      <c r="E50" s="25">
        <f>E51+E52+E53+E57</f>
        <v>9849335990</v>
      </c>
      <c r="F50" s="33" t="s">
        <v>63</v>
      </c>
      <c r="G50" s="33" t="s">
        <v>63</v>
      </c>
      <c r="H50" s="33" t="s">
        <v>63</v>
      </c>
      <c r="I50" s="33" t="s">
        <v>63</v>
      </c>
      <c r="J50" s="33" t="s">
        <v>63</v>
      </c>
      <c r="K50" s="26">
        <f t="shared" si="0"/>
        <v>22.809024934899863</v>
      </c>
      <c r="L50" s="26">
        <f t="shared" si="1"/>
        <v>60.490134544017444</v>
      </c>
      <c r="M50" s="44"/>
    </row>
    <row r="51" spans="2:13" ht="13.5" customHeight="1">
      <c r="B51" s="30" t="s">
        <v>44</v>
      </c>
      <c r="C51" s="31">
        <f>17087778683</f>
        <v>17087778683</v>
      </c>
      <c r="D51" s="31">
        <f>10525709648</f>
        <v>10525709648</v>
      </c>
      <c r="E51" s="31">
        <f>9214208491</f>
        <v>9214208491</v>
      </c>
      <c r="F51" s="31" t="s">
        <v>63</v>
      </c>
      <c r="G51" s="31" t="s">
        <v>63</v>
      </c>
      <c r="H51" s="31" t="s">
        <v>63</v>
      </c>
      <c r="I51" s="31" t="s">
        <v>63</v>
      </c>
      <c r="J51" s="31" t="s">
        <v>63</v>
      </c>
      <c r="K51" s="29">
        <f t="shared" si="0"/>
        <v>21.51103637268654</v>
      </c>
      <c r="L51" s="29">
        <f t="shared" si="1"/>
        <v>61.597881405566426</v>
      </c>
      <c r="M51" s="35"/>
    </row>
    <row r="52" spans="2:13" s="43" customFormat="1" ht="12.75">
      <c r="B52" s="30" t="s">
        <v>40</v>
      </c>
      <c r="C52" s="28">
        <f>101424808</f>
        <v>101424808</v>
      </c>
      <c r="D52" s="37">
        <f>6017749</f>
        <v>6017749</v>
      </c>
      <c r="E52" s="28">
        <f>6017749</f>
        <v>6017749</v>
      </c>
      <c r="F52" s="28" t="s">
        <v>63</v>
      </c>
      <c r="G52" s="28" t="s">
        <v>63</v>
      </c>
      <c r="H52" s="28" t="s">
        <v>63</v>
      </c>
      <c r="I52" s="28" t="s">
        <v>63</v>
      </c>
      <c r="J52" s="28" t="s">
        <v>63</v>
      </c>
      <c r="K52" s="29">
        <f t="shared" si="0"/>
        <v>0.012298269850650365</v>
      </c>
      <c r="L52" s="29">
        <f t="shared" si="1"/>
        <v>5.933212119070514</v>
      </c>
      <c r="M52" s="44"/>
    </row>
    <row r="53" spans="2:13" s="43" customFormat="1" ht="25.5" customHeight="1">
      <c r="B53" s="24" t="s">
        <v>61</v>
      </c>
      <c r="C53" s="25">
        <f>C54+C55+C56</f>
        <v>302474837</v>
      </c>
      <c r="D53" s="25">
        <f>D54+D55+D56</f>
        <v>149612208</v>
      </c>
      <c r="E53" s="25">
        <f>E54+E55+E56</f>
        <v>149612208</v>
      </c>
      <c r="F53" s="33" t="s">
        <v>63</v>
      </c>
      <c r="G53" s="33" t="s">
        <v>63</v>
      </c>
      <c r="H53" s="33" t="s">
        <v>63</v>
      </c>
      <c r="I53" s="33" t="s">
        <v>63</v>
      </c>
      <c r="J53" s="33" t="s">
        <v>63</v>
      </c>
      <c r="K53" s="26">
        <f t="shared" si="0"/>
        <v>0.30575740313124244</v>
      </c>
      <c r="L53" s="26">
        <f t="shared" si="1"/>
        <v>49.462695635736466</v>
      </c>
      <c r="M53" s="44"/>
    </row>
    <row r="54" spans="2:13" ht="13.5" customHeight="1">
      <c r="B54" s="30" t="s">
        <v>45</v>
      </c>
      <c r="C54" s="28">
        <f>189159504</f>
        <v>189159504</v>
      </c>
      <c r="D54" s="37">
        <f>94579758</f>
        <v>94579758</v>
      </c>
      <c r="E54" s="28">
        <f>94579758</f>
        <v>94579758</v>
      </c>
      <c r="F54" s="28" t="s">
        <v>63</v>
      </c>
      <c r="G54" s="28" t="s">
        <v>63</v>
      </c>
      <c r="H54" s="28" t="s">
        <v>63</v>
      </c>
      <c r="I54" s="28" t="s">
        <v>63</v>
      </c>
      <c r="J54" s="28" t="s">
        <v>63</v>
      </c>
      <c r="K54" s="29">
        <f t="shared" si="0"/>
        <v>0.1932894486448683</v>
      </c>
      <c r="L54" s="29">
        <f t="shared" si="1"/>
        <v>50.000003171926274</v>
      </c>
      <c r="M54" s="35"/>
    </row>
    <row r="55" spans="2:13" ht="13.5" customHeight="1">
      <c r="B55" s="30" t="s">
        <v>43</v>
      </c>
      <c r="C55" s="31">
        <f>3250459</f>
        <v>3250459</v>
      </c>
      <c r="D55" s="31">
        <f>0</f>
        <v>0</v>
      </c>
      <c r="E55" s="31">
        <f>0</f>
        <v>0</v>
      </c>
      <c r="F55" s="31" t="s">
        <v>63</v>
      </c>
      <c r="G55" s="31" t="s">
        <v>63</v>
      </c>
      <c r="H55" s="31" t="s">
        <v>63</v>
      </c>
      <c r="I55" s="31" t="s">
        <v>63</v>
      </c>
      <c r="J55" s="31" t="s">
        <v>63</v>
      </c>
      <c r="K55" s="29">
        <f t="shared" si="0"/>
        <v>0</v>
      </c>
      <c r="L55" s="29">
        <f t="shared" si="1"/>
        <v>0</v>
      </c>
      <c r="M55" s="35"/>
    </row>
    <row r="56" spans="2:13" ht="13.5" customHeight="1">
      <c r="B56" s="30" t="s">
        <v>42</v>
      </c>
      <c r="C56" s="28">
        <f>110064874</f>
        <v>110064874</v>
      </c>
      <c r="D56" s="37">
        <f>55032450</f>
        <v>55032450</v>
      </c>
      <c r="E56" s="28">
        <f>55032450</f>
        <v>55032450</v>
      </c>
      <c r="F56" s="28" t="s">
        <v>63</v>
      </c>
      <c r="G56" s="28" t="s">
        <v>63</v>
      </c>
      <c r="H56" s="28" t="s">
        <v>63</v>
      </c>
      <c r="I56" s="28" t="s">
        <v>63</v>
      </c>
      <c r="J56" s="28" t="s">
        <v>63</v>
      </c>
      <c r="K56" s="29">
        <f t="shared" si="0"/>
        <v>0.11246795448637416</v>
      </c>
      <c r="L56" s="29">
        <f t="shared" si="1"/>
        <v>50.00001181121599</v>
      </c>
      <c r="M56" s="35"/>
    </row>
    <row r="57" spans="2:13" s="43" customFormat="1" ht="25.5" customHeight="1">
      <c r="B57" s="24" t="s">
        <v>62</v>
      </c>
      <c r="C57" s="25">
        <f>C58+C59</f>
        <v>958995044</v>
      </c>
      <c r="D57" s="25">
        <f>D58+D59</f>
        <v>479497542</v>
      </c>
      <c r="E57" s="25">
        <f>E58+E59</f>
        <v>479497542</v>
      </c>
      <c r="F57" s="33" t="s">
        <v>63</v>
      </c>
      <c r="G57" s="33" t="s">
        <v>63</v>
      </c>
      <c r="H57" s="33" t="s">
        <v>63</v>
      </c>
      <c r="I57" s="33" t="s">
        <v>63</v>
      </c>
      <c r="J57" s="33" t="s">
        <v>63</v>
      </c>
      <c r="K57" s="26">
        <f t="shared" si="0"/>
        <v>0.9799328892314313</v>
      </c>
      <c r="L57" s="26">
        <f t="shared" si="1"/>
        <v>50.00000208551651</v>
      </c>
      <c r="M57" s="44"/>
    </row>
    <row r="58" spans="2:13" ht="13.5" customHeight="1">
      <c r="B58" s="30" t="s">
        <v>42</v>
      </c>
      <c r="C58" s="28">
        <f>846564324</f>
        <v>846564324</v>
      </c>
      <c r="D58" s="37">
        <f>423282180</f>
        <v>423282180</v>
      </c>
      <c r="E58" s="28">
        <f>423282180</f>
        <v>423282180</v>
      </c>
      <c r="F58" s="28" t="s">
        <v>63</v>
      </c>
      <c r="G58" s="28" t="s">
        <v>63</v>
      </c>
      <c r="H58" s="28" t="s">
        <v>63</v>
      </c>
      <c r="I58" s="28" t="s">
        <v>63</v>
      </c>
      <c r="J58" s="28" t="s">
        <v>63</v>
      </c>
      <c r="K58" s="29">
        <f t="shared" si="0"/>
        <v>0.8650474575479238</v>
      </c>
      <c r="L58" s="29">
        <f t="shared" si="1"/>
        <v>50.00000212624126</v>
      </c>
      <c r="M58" s="35"/>
    </row>
    <row r="59" spans="2:13" ht="13.5" customHeight="1">
      <c r="B59" s="30" t="s">
        <v>45</v>
      </c>
      <c r="C59" s="31">
        <f>112430720</f>
        <v>112430720</v>
      </c>
      <c r="D59" s="31">
        <f>56215362</f>
        <v>56215362</v>
      </c>
      <c r="E59" s="31">
        <f>56215362</f>
        <v>56215362</v>
      </c>
      <c r="F59" s="31" t="s">
        <v>63</v>
      </c>
      <c r="G59" s="31" t="s">
        <v>63</v>
      </c>
      <c r="H59" s="31" t="s">
        <v>63</v>
      </c>
      <c r="I59" s="31" t="s">
        <v>63</v>
      </c>
      <c r="J59" s="31" t="s">
        <v>63</v>
      </c>
      <c r="K59" s="29">
        <f t="shared" si="0"/>
        <v>0.1148854316835076</v>
      </c>
      <c r="L59" s="29">
        <f t="shared" si="1"/>
        <v>50.00000177887325</v>
      </c>
      <c r="M59" s="35"/>
    </row>
    <row r="60" spans="2:13" ht="11.25" customHeight="1">
      <c r="B60" s="45"/>
      <c r="C60" s="46"/>
      <c r="D60" s="46"/>
      <c r="E60" s="46"/>
      <c r="F60" s="46"/>
      <c r="G60" s="46"/>
      <c r="H60" s="46"/>
      <c r="I60" s="46"/>
      <c r="J60" s="46"/>
      <c r="K60" s="34"/>
      <c r="L60" s="34"/>
      <c r="M60" s="35"/>
    </row>
    <row r="61" spans="2:13" ht="13.5" customHeight="1">
      <c r="B61" s="24" t="s">
        <v>5</v>
      </c>
      <c r="C61" s="33">
        <f aca="true" t="shared" si="4" ref="C61:J61">+C5</f>
        <v>101609427892.71</v>
      </c>
      <c r="D61" s="33">
        <f t="shared" si="4"/>
        <v>48931671471.51</v>
      </c>
      <c r="E61" s="33">
        <f t="shared" si="4"/>
        <v>46186308725.76</v>
      </c>
      <c r="F61" s="33">
        <f t="shared" si="4"/>
        <v>246767557.61</v>
      </c>
      <c r="G61" s="33">
        <f t="shared" si="4"/>
        <v>80602563.72</v>
      </c>
      <c r="H61" s="33">
        <f t="shared" si="4"/>
        <v>8007109.99</v>
      </c>
      <c r="I61" s="33">
        <f t="shared" si="4"/>
        <v>85888123.63</v>
      </c>
      <c r="J61" s="33">
        <f t="shared" si="4"/>
        <v>4487274.81</v>
      </c>
      <c r="K61" s="26">
        <f t="shared" si="0"/>
        <v>100</v>
      </c>
      <c r="L61" s="26">
        <f t="shared" si="1"/>
        <v>48.15662531155794</v>
      </c>
      <c r="M61" s="35"/>
    </row>
    <row r="62" spans="2:13" ht="12.75">
      <c r="B62" s="30" t="s">
        <v>78</v>
      </c>
      <c r="C62" s="31">
        <f>9072993825.82</f>
        <v>9072993825.82</v>
      </c>
      <c r="D62" s="31">
        <f>2638814761.44</f>
        <v>2638814761.44</v>
      </c>
      <c r="E62" s="31">
        <f>2635145540.09</f>
        <v>2635145540.09</v>
      </c>
      <c r="F62" s="31">
        <f>0</f>
        <v>0</v>
      </c>
      <c r="G62" s="31">
        <f>0</f>
        <v>0</v>
      </c>
      <c r="H62" s="31">
        <f>0</f>
        <v>0</v>
      </c>
      <c r="I62" s="31">
        <f>0</f>
        <v>0</v>
      </c>
      <c r="J62" s="31">
        <f>0</f>
        <v>0</v>
      </c>
      <c r="K62" s="29">
        <f t="shared" si="0"/>
        <v>5.3928563690623665</v>
      </c>
      <c r="L62" s="29">
        <f t="shared" si="1"/>
        <v>29.084278156681197</v>
      </c>
      <c r="M62" s="35"/>
    </row>
    <row r="63" spans="1:13" s="43" customFormat="1" ht="12.75">
      <c r="A63" s="9"/>
      <c r="B63" s="30" t="s">
        <v>79</v>
      </c>
      <c r="C63" s="31">
        <f>C61-C62</f>
        <v>92536434066.89001</v>
      </c>
      <c r="D63" s="31">
        <f aca="true" t="shared" si="5" ref="D63:J63">D61-D62</f>
        <v>46292856710.07</v>
      </c>
      <c r="E63" s="31">
        <f t="shared" si="5"/>
        <v>43551163185.67</v>
      </c>
      <c r="F63" s="31">
        <f t="shared" si="5"/>
        <v>246767557.61</v>
      </c>
      <c r="G63" s="31">
        <f t="shared" si="5"/>
        <v>80602563.72</v>
      </c>
      <c r="H63" s="31">
        <f t="shared" si="5"/>
        <v>8007109.99</v>
      </c>
      <c r="I63" s="31">
        <f t="shared" si="5"/>
        <v>85888123.63</v>
      </c>
      <c r="J63" s="31">
        <f t="shared" si="5"/>
        <v>4487274.81</v>
      </c>
      <c r="K63" s="29">
        <f t="shared" si="0"/>
        <v>94.60714363093763</v>
      </c>
      <c r="L63" s="29">
        <f t="shared" si="1"/>
        <v>50.0266270003523</v>
      </c>
      <c r="M63" s="47"/>
    </row>
    <row r="64" spans="2:13" ht="18">
      <c r="B64" s="106" t="s">
        <v>118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</row>
    <row r="65" spans="2:13" s="43" customFormat="1" ht="6" customHeight="1">
      <c r="B65" s="48"/>
      <c r="C65" s="49"/>
      <c r="D65" s="49"/>
      <c r="E65" s="49"/>
      <c r="F65" s="50"/>
      <c r="G65" s="50"/>
      <c r="H65" s="50"/>
      <c r="I65" s="50"/>
      <c r="J65" s="50"/>
      <c r="K65" s="1"/>
      <c r="L65" s="1"/>
      <c r="M65" s="51"/>
    </row>
    <row r="66" spans="2:27" ht="29.25" customHeight="1">
      <c r="B66" s="134" t="s">
        <v>0</v>
      </c>
      <c r="C66" s="128" t="s">
        <v>51</v>
      </c>
      <c r="D66" s="128" t="s">
        <v>52</v>
      </c>
      <c r="E66" s="128" t="s">
        <v>53</v>
      </c>
      <c r="F66" s="128" t="s">
        <v>12</v>
      </c>
      <c r="G66" s="128"/>
      <c r="H66" s="128"/>
      <c r="I66" s="128" t="s">
        <v>100</v>
      </c>
      <c r="J66" s="128"/>
      <c r="K66" s="128" t="s">
        <v>2</v>
      </c>
      <c r="L66" s="131" t="s">
        <v>31</v>
      </c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</row>
    <row r="67" spans="2:27" ht="18" customHeight="1">
      <c r="B67" s="134"/>
      <c r="C67" s="128"/>
      <c r="D67" s="123"/>
      <c r="E67" s="128"/>
      <c r="F67" s="118" t="s">
        <v>54</v>
      </c>
      <c r="G67" s="129" t="s">
        <v>30</v>
      </c>
      <c r="H67" s="123"/>
      <c r="I67" s="128"/>
      <c r="J67" s="128"/>
      <c r="K67" s="128"/>
      <c r="L67" s="131"/>
      <c r="M67" s="2"/>
      <c r="N67" s="3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pans="2:27" ht="36" customHeight="1">
      <c r="B68" s="134"/>
      <c r="C68" s="128"/>
      <c r="D68" s="123"/>
      <c r="E68" s="128"/>
      <c r="F68" s="123"/>
      <c r="G68" s="7" t="s">
        <v>49</v>
      </c>
      <c r="H68" s="7" t="s">
        <v>50</v>
      </c>
      <c r="I68" s="128"/>
      <c r="J68" s="128"/>
      <c r="K68" s="128"/>
      <c r="L68" s="131"/>
      <c r="M68" s="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69" spans="2:27" ht="13.5" customHeight="1">
      <c r="B69" s="134"/>
      <c r="C69" s="105" t="s">
        <v>84</v>
      </c>
      <c r="D69" s="105"/>
      <c r="E69" s="105"/>
      <c r="F69" s="105"/>
      <c r="G69" s="105"/>
      <c r="H69" s="105"/>
      <c r="I69" s="105"/>
      <c r="J69" s="105"/>
      <c r="K69" s="105" t="s">
        <v>4</v>
      </c>
      <c r="L69" s="105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</row>
    <row r="70" spans="2:27" ht="11.25" customHeight="1">
      <c r="B70" s="6">
        <v>1</v>
      </c>
      <c r="C70" s="8">
        <v>2</v>
      </c>
      <c r="D70" s="8">
        <v>3</v>
      </c>
      <c r="E70" s="8">
        <v>4</v>
      </c>
      <c r="F70" s="6">
        <v>5</v>
      </c>
      <c r="G70" s="6">
        <v>6</v>
      </c>
      <c r="H70" s="8">
        <v>7</v>
      </c>
      <c r="I70" s="123">
        <v>8</v>
      </c>
      <c r="J70" s="123"/>
      <c r="K70" s="6">
        <v>9</v>
      </c>
      <c r="L70" s="8">
        <v>10</v>
      </c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</row>
    <row r="71" spans="2:12" ht="25.5" customHeight="1">
      <c r="B71" s="24" t="s">
        <v>71</v>
      </c>
      <c r="C71" s="53">
        <f>112950198869.72</f>
        <v>112950198869.72</v>
      </c>
      <c r="D71" s="53">
        <f>88870867333.01</f>
        <v>88870867333.01</v>
      </c>
      <c r="E71" s="53">
        <f>48076512194.91</f>
        <v>48076512194.91</v>
      </c>
      <c r="F71" s="53">
        <f>3032800348.29</f>
        <v>3032800348.29</v>
      </c>
      <c r="G71" s="53">
        <f>231662.72</f>
        <v>231662.72</v>
      </c>
      <c r="H71" s="53">
        <f>2323431.59</f>
        <v>2323431.59</v>
      </c>
      <c r="I71" s="130">
        <f>0</f>
        <v>0</v>
      </c>
      <c r="J71" s="130"/>
      <c r="K71" s="54">
        <f aca="true" t="shared" si="6" ref="K71:K80">IF($E$71=0,"",100*$E71/$E$71)</f>
        <v>99.99999999999999</v>
      </c>
      <c r="L71" s="54">
        <f aca="true" t="shared" si="7" ref="L71:L80">IF(C71=0,"",100*E71/C71)</f>
        <v>42.56434488474237</v>
      </c>
    </row>
    <row r="72" spans="2:12" ht="12.75">
      <c r="B72" s="24" t="s">
        <v>14</v>
      </c>
      <c r="C72" s="55">
        <f>22667211565.65</f>
        <v>22667211565.65</v>
      </c>
      <c r="D72" s="55">
        <f>14064900579.37</f>
        <v>14064900579.37</v>
      </c>
      <c r="E72" s="55">
        <f>5240639229.55</f>
        <v>5240639229.55</v>
      </c>
      <c r="F72" s="55">
        <f>891094965.12</f>
        <v>891094965.12</v>
      </c>
      <c r="G72" s="55">
        <f>3406.42</f>
        <v>3406.42</v>
      </c>
      <c r="H72" s="55">
        <f>31633.37</f>
        <v>31633.37</v>
      </c>
      <c r="I72" s="125">
        <f>0</f>
        <v>0</v>
      </c>
      <c r="J72" s="125"/>
      <c r="K72" s="54">
        <f t="shared" si="6"/>
        <v>10.90062275795631</v>
      </c>
      <c r="L72" s="54">
        <f t="shared" si="7"/>
        <v>23.119911394358226</v>
      </c>
    </row>
    <row r="73" spans="2:12" ht="12.75">
      <c r="B73" s="30" t="s">
        <v>13</v>
      </c>
      <c r="C73" s="31">
        <f>21421115821.47</f>
        <v>21421115821.47</v>
      </c>
      <c r="D73" s="31">
        <f>13333417666.95</f>
        <v>13333417666.95</v>
      </c>
      <c r="E73" s="31">
        <f>4662253787.31</f>
        <v>4662253787.31</v>
      </c>
      <c r="F73" s="31">
        <f>805390617.24</f>
        <v>805390617.24</v>
      </c>
      <c r="G73" s="31">
        <f>3406.42</f>
        <v>3406.42</v>
      </c>
      <c r="H73" s="31">
        <f>31633.37</f>
        <v>31633.37</v>
      </c>
      <c r="I73" s="124">
        <f>0</f>
        <v>0</v>
      </c>
      <c r="J73" s="124"/>
      <c r="K73" s="57">
        <f t="shared" si="6"/>
        <v>9.697570756398603</v>
      </c>
      <c r="L73" s="57">
        <f t="shared" si="7"/>
        <v>21.76475691633723</v>
      </c>
    </row>
    <row r="74" spans="2:12" ht="25.5" customHeight="1">
      <c r="B74" s="24" t="s">
        <v>72</v>
      </c>
      <c r="C74" s="55">
        <f aca="true" t="shared" si="8" ref="C74:I74">C71-C72</f>
        <v>90282987304.07</v>
      </c>
      <c r="D74" s="55">
        <f t="shared" si="8"/>
        <v>74805966753.64</v>
      </c>
      <c r="E74" s="55">
        <f t="shared" si="8"/>
        <v>42835872965.36</v>
      </c>
      <c r="F74" s="55">
        <f t="shared" si="8"/>
        <v>2141705383.17</v>
      </c>
      <c r="G74" s="55">
        <f t="shared" si="8"/>
        <v>228256.3</v>
      </c>
      <c r="H74" s="55">
        <f t="shared" si="8"/>
        <v>2291798.2199999997</v>
      </c>
      <c r="I74" s="125">
        <f t="shared" si="8"/>
        <v>0</v>
      </c>
      <c r="J74" s="125"/>
      <c r="K74" s="54">
        <f t="shared" si="6"/>
        <v>89.09937724204369</v>
      </c>
      <c r="L74" s="54">
        <f t="shared" si="7"/>
        <v>47.44622906759858</v>
      </c>
    </row>
    <row r="75" spans="2:12" ht="24" customHeight="1">
      <c r="B75" s="30" t="s">
        <v>117</v>
      </c>
      <c r="C75" s="31">
        <f>32024112446.57</f>
        <v>32024112446.57</v>
      </c>
      <c r="D75" s="31">
        <f>29187485557.92</f>
        <v>29187485557.92</v>
      </c>
      <c r="E75" s="31">
        <f>16341688872.35</f>
        <v>16341688872.35</v>
      </c>
      <c r="F75" s="31">
        <f>908173386.73</f>
        <v>908173386.73</v>
      </c>
      <c r="G75" s="31">
        <f>6253.81</f>
        <v>6253.81</v>
      </c>
      <c r="H75" s="31">
        <f>1014021</f>
        <v>1014021</v>
      </c>
      <c r="I75" s="124">
        <f>0</f>
        <v>0</v>
      </c>
      <c r="J75" s="124"/>
      <c r="K75" s="57">
        <f t="shared" si="6"/>
        <v>33.99100335335919</v>
      </c>
      <c r="L75" s="57">
        <f t="shared" si="7"/>
        <v>51.02932641650872</v>
      </c>
    </row>
    <row r="76" spans="2:12" ht="13.5" customHeight="1">
      <c r="B76" s="30" t="s">
        <v>48</v>
      </c>
      <c r="C76" s="58">
        <f>9260399870.44</f>
        <v>9260399870.44</v>
      </c>
      <c r="D76" s="58">
        <f>7340843374.53</f>
        <v>7340843374.53</v>
      </c>
      <c r="E76" s="58">
        <f>4816312646.35</f>
        <v>4816312646.35</v>
      </c>
      <c r="F76" s="58">
        <f>108076885.1</f>
        <v>108076885.1</v>
      </c>
      <c r="G76" s="58">
        <f>0</f>
        <v>0</v>
      </c>
      <c r="H76" s="58">
        <f>903246</f>
        <v>903246</v>
      </c>
      <c r="I76" s="132">
        <f>0</f>
        <v>0</v>
      </c>
      <c r="J76" s="132"/>
      <c r="K76" s="57">
        <f t="shared" si="6"/>
        <v>10.01801592183702</v>
      </c>
      <c r="L76" s="57">
        <f t="shared" si="7"/>
        <v>52.009769704698044</v>
      </c>
    </row>
    <row r="77" spans="2:12" ht="12.75">
      <c r="B77" s="30" t="s">
        <v>47</v>
      </c>
      <c r="C77" s="31">
        <f>1284539979.78</f>
        <v>1284539979.78</v>
      </c>
      <c r="D77" s="31">
        <f>814779903.46</f>
        <v>814779903.46</v>
      </c>
      <c r="E77" s="31">
        <f>423910890.38</f>
        <v>423910890.38</v>
      </c>
      <c r="F77" s="31">
        <f>10346642.05</f>
        <v>10346642.05</v>
      </c>
      <c r="G77" s="31">
        <f>8078.26</f>
        <v>8078.26</v>
      </c>
      <c r="H77" s="31">
        <f>0</f>
        <v>0</v>
      </c>
      <c r="I77" s="124">
        <f>0</f>
        <v>0</v>
      </c>
      <c r="J77" s="124"/>
      <c r="K77" s="57">
        <f t="shared" si="6"/>
        <v>0.8817421876641056</v>
      </c>
      <c r="L77" s="57">
        <f t="shared" si="7"/>
        <v>33.00098845133665</v>
      </c>
    </row>
    <row r="78" spans="2:12" ht="22.5" customHeight="1">
      <c r="B78" s="30" t="s">
        <v>75</v>
      </c>
      <c r="C78" s="58">
        <f>135498039.6</f>
        <v>135498039.6</v>
      </c>
      <c r="D78" s="58">
        <f>18523393.91</f>
        <v>18523393.91</v>
      </c>
      <c r="E78" s="58">
        <f>2879448.69</f>
        <v>2879448.69</v>
      </c>
      <c r="F78" s="58">
        <f>0</f>
        <v>0</v>
      </c>
      <c r="G78" s="58">
        <f>0</f>
        <v>0</v>
      </c>
      <c r="H78" s="58">
        <f>0</f>
        <v>0</v>
      </c>
      <c r="I78" s="132">
        <f>0</f>
        <v>0</v>
      </c>
      <c r="J78" s="132"/>
      <c r="K78" s="57">
        <f t="shared" si="6"/>
        <v>0.0059893044618674635</v>
      </c>
      <c r="L78" s="57">
        <f t="shared" si="7"/>
        <v>2.1250851292759223</v>
      </c>
    </row>
    <row r="79" spans="2:12" ht="22.5" customHeight="1">
      <c r="B79" s="30" t="s">
        <v>77</v>
      </c>
      <c r="C79" s="58">
        <f>16401238357.08</f>
        <v>16401238357.08</v>
      </c>
      <c r="D79" s="58">
        <f>13925501165.28</f>
        <v>13925501165.28</v>
      </c>
      <c r="E79" s="58">
        <f>8447414133.69</f>
        <v>8447414133.69</v>
      </c>
      <c r="F79" s="58">
        <f>237900214.75</f>
        <v>237900214.75</v>
      </c>
      <c r="G79" s="58">
        <f>41899.79</f>
        <v>41899.79</v>
      </c>
      <c r="H79" s="58">
        <f>19615.21</f>
        <v>19615.21</v>
      </c>
      <c r="I79" s="126">
        <f>0</f>
        <v>0</v>
      </c>
      <c r="J79" s="127"/>
      <c r="K79" s="57">
        <f t="shared" si="6"/>
        <v>17.570771563966222</v>
      </c>
      <c r="L79" s="57">
        <f t="shared" si="7"/>
        <v>51.50473366569583</v>
      </c>
    </row>
    <row r="80" spans="2:12" ht="12.75">
      <c r="B80" s="30" t="s">
        <v>46</v>
      </c>
      <c r="C80" s="31">
        <f aca="true" t="shared" si="9" ref="C80:I80">C74-C75-C76-C77-C78-C79</f>
        <v>31177198610.600006</v>
      </c>
      <c r="D80" s="31">
        <f t="shared" si="9"/>
        <v>23518833358.54</v>
      </c>
      <c r="E80" s="31">
        <f t="shared" si="9"/>
        <v>12803666973.900005</v>
      </c>
      <c r="F80" s="31">
        <f t="shared" si="9"/>
        <v>877208254.5400002</v>
      </c>
      <c r="G80" s="31">
        <f t="shared" si="9"/>
        <v>172024.43999999997</v>
      </c>
      <c r="H80" s="31">
        <f t="shared" si="9"/>
        <v>354916.0099999997</v>
      </c>
      <c r="I80" s="126">
        <f t="shared" si="9"/>
        <v>0</v>
      </c>
      <c r="J80" s="127"/>
      <c r="K80" s="57">
        <f t="shared" si="6"/>
        <v>26.631854910755287</v>
      </c>
      <c r="L80" s="57">
        <f t="shared" si="7"/>
        <v>41.06740677318859</v>
      </c>
    </row>
    <row r="81" spans="2:13" ht="12.75">
      <c r="B81" s="24" t="s">
        <v>15</v>
      </c>
      <c r="C81" s="56">
        <f>C5-C71</f>
        <v>-11340770977.009995</v>
      </c>
      <c r="D81" s="56"/>
      <c r="E81" s="56">
        <f>D5-E71</f>
        <v>855159276.5999985</v>
      </c>
      <c r="F81" s="56"/>
      <c r="G81" s="56"/>
      <c r="H81" s="56"/>
      <c r="I81" s="125"/>
      <c r="J81" s="125"/>
      <c r="K81" s="59"/>
      <c r="L81" s="59"/>
      <c r="M81" s="4"/>
    </row>
    <row r="82" spans="2:13" ht="22.5">
      <c r="B82" s="24" t="s">
        <v>83</v>
      </c>
      <c r="C82" s="56">
        <f>+C63-C74</f>
        <v>2253446762.8200073</v>
      </c>
      <c r="D82" s="56"/>
      <c r="E82" s="56">
        <f>+D63-E74</f>
        <v>3456983744.709999</v>
      </c>
      <c r="F82" s="56"/>
      <c r="G82" s="56"/>
      <c r="H82" s="56"/>
      <c r="I82" s="56"/>
      <c r="J82" s="56"/>
      <c r="K82" s="59"/>
      <c r="L82" s="59"/>
      <c r="M82" s="4"/>
    </row>
    <row r="83" spans="2:13" ht="8.25" customHeight="1">
      <c r="B83" s="60"/>
      <c r="C83" s="61"/>
      <c r="D83" s="61"/>
      <c r="E83" s="61"/>
      <c r="F83" s="62"/>
      <c r="G83" s="62"/>
      <c r="H83" s="62"/>
      <c r="I83" s="62"/>
      <c r="J83" s="63"/>
      <c r="K83" s="63"/>
      <c r="L83" s="64"/>
      <c r="M83" s="52"/>
    </row>
    <row r="84" spans="2:13" ht="12.75">
      <c r="B84" s="65" t="s">
        <v>80</v>
      </c>
      <c r="C84" s="66"/>
      <c r="D84" s="67"/>
      <c r="E84" s="67"/>
      <c r="F84" s="68"/>
      <c r="G84" s="68"/>
      <c r="H84" s="68"/>
      <c r="I84" s="68"/>
      <c r="J84" s="69"/>
      <c r="K84" s="69"/>
      <c r="L84" s="69"/>
      <c r="M84" s="52"/>
    </row>
    <row r="85" spans="2:13" ht="26.25" customHeight="1">
      <c r="B85" s="24" t="s">
        <v>105</v>
      </c>
      <c r="C85" s="70">
        <f>10308896212.91</f>
        <v>10308896212.91</v>
      </c>
      <c r="D85" s="71">
        <f>6634190998.61</f>
        <v>6634190998.61</v>
      </c>
      <c r="E85" s="71">
        <f>2572404439.62</f>
        <v>2572404439.62</v>
      </c>
      <c r="F85" s="71">
        <f>295919124.11</f>
        <v>295919124.11</v>
      </c>
      <c r="G85" s="71">
        <f>0</f>
        <v>0</v>
      </c>
      <c r="H85" s="71">
        <f>0</f>
        <v>0</v>
      </c>
      <c r="I85" s="71">
        <f>0</f>
        <v>0</v>
      </c>
      <c r="J85" s="71">
        <f>0</f>
        <v>0</v>
      </c>
      <c r="K85" s="54">
        <f>IF($E$71=0,"",100*$E85/$E$85)</f>
        <v>100</v>
      </c>
      <c r="L85" s="54">
        <f>IF(C85=0,"",100*E85/C85)</f>
        <v>24.953248015035168</v>
      </c>
      <c r="M85" s="52"/>
    </row>
    <row r="86" spans="2:13" ht="15" customHeight="1">
      <c r="B86" s="72" t="s">
        <v>81</v>
      </c>
      <c r="C86" s="73">
        <f>9277292844.15</f>
        <v>9277292844.15</v>
      </c>
      <c r="D86" s="58">
        <f>6186124915.98</f>
        <v>6186124915.98</v>
      </c>
      <c r="E86" s="58">
        <f>2320138504.05</f>
        <v>2320138504.05</v>
      </c>
      <c r="F86" s="58">
        <f>289539956.8</f>
        <v>289539956.8</v>
      </c>
      <c r="G86" s="58">
        <f>0</f>
        <v>0</v>
      </c>
      <c r="H86" s="58">
        <f>0</f>
        <v>0</v>
      </c>
      <c r="I86" s="58">
        <f>0</f>
        <v>0</v>
      </c>
      <c r="J86" s="58">
        <f>0</f>
        <v>0</v>
      </c>
      <c r="K86" s="57">
        <f>IF($E$71=0,"",100*$E86/$E$85)</f>
        <v>90.19337971570036</v>
      </c>
      <c r="L86" s="74">
        <f>IF(C86=0,"",100*E86/C86)</f>
        <v>25.008788048692615</v>
      </c>
      <c r="M86" s="52"/>
    </row>
    <row r="87" spans="2:12" ht="12.75">
      <c r="B87" s="75" t="s">
        <v>82</v>
      </c>
      <c r="C87" s="73">
        <f>C85-C86</f>
        <v>1031603368.7600002</v>
      </c>
      <c r="D87" s="58">
        <f aca="true" t="shared" si="10" ref="D87:J87">D85-D86</f>
        <v>448066082.6300001</v>
      </c>
      <c r="E87" s="58">
        <f t="shared" si="10"/>
        <v>252265935.5699997</v>
      </c>
      <c r="F87" s="58">
        <f t="shared" si="10"/>
        <v>6379167.310000002</v>
      </c>
      <c r="G87" s="58">
        <f t="shared" si="10"/>
        <v>0</v>
      </c>
      <c r="H87" s="58">
        <f t="shared" si="10"/>
        <v>0</v>
      </c>
      <c r="I87" s="58">
        <f t="shared" si="10"/>
        <v>0</v>
      </c>
      <c r="J87" s="58">
        <f t="shared" si="10"/>
        <v>0</v>
      </c>
      <c r="K87" s="57">
        <f>IF($E$71=0,"",100*$E87/$E$85)</f>
        <v>9.806620284299651</v>
      </c>
      <c r="L87" s="74">
        <f>IF(C87=0,"",100*E87/C87)</f>
        <v>24.453771983434525</v>
      </c>
    </row>
    <row r="88" ht="6" customHeight="1"/>
    <row r="89" spans="2:13" ht="18">
      <c r="B89" s="106" t="s">
        <v>118</v>
      </c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</row>
    <row r="90" ht="6.75" customHeight="1"/>
    <row r="91" spans="2:8" ht="12.75">
      <c r="B91" s="12" t="s">
        <v>16</v>
      </c>
      <c r="C91" s="117" t="s">
        <v>17</v>
      </c>
      <c r="D91" s="100"/>
      <c r="E91" s="117" t="s">
        <v>1</v>
      </c>
      <c r="F91" s="100"/>
      <c r="G91" s="8" t="s">
        <v>25</v>
      </c>
      <c r="H91" s="8" t="s">
        <v>26</v>
      </c>
    </row>
    <row r="92" spans="2:8" ht="12.75">
      <c r="B92" s="12"/>
      <c r="C92" s="118" t="s">
        <v>84</v>
      </c>
      <c r="D92" s="119"/>
      <c r="E92" s="119"/>
      <c r="F92" s="120"/>
      <c r="G92" s="121" t="s">
        <v>4</v>
      </c>
      <c r="H92" s="122"/>
    </row>
    <row r="93" spans="2:8" ht="12.75">
      <c r="B93" s="10">
        <v>1</v>
      </c>
      <c r="C93" s="13">
        <v>2</v>
      </c>
      <c r="D93" s="14"/>
      <c r="E93" s="13">
        <v>3</v>
      </c>
      <c r="F93" s="14"/>
      <c r="G93" s="11">
        <v>4</v>
      </c>
      <c r="H93" s="11">
        <v>5</v>
      </c>
    </row>
    <row r="94" spans="2:8" ht="22.5">
      <c r="B94" s="76" t="s">
        <v>73</v>
      </c>
      <c r="C94" s="77">
        <f>14918496989.63</f>
        <v>14918496989.63</v>
      </c>
      <c r="D94" s="78"/>
      <c r="E94" s="77">
        <f>8043772828.38</f>
        <v>8043772828.38</v>
      </c>
      <c r="F94" s="78"/>
      <c r="G94" s="79">
        <f>IF($E$94=0,"",100*$E94/$E$94)</f>
        <v>100</v>
      </c>
      <c r="H94" s="54">
        <f>IF(C94=0,"",100*E94/C94)</f>
        <v>53.918118118543106</v>
      </c>
    </row>
    <row r="95" spans="2:8" ht="33.75">
      <c r="B95" s="80" t="s">
        <v>106</v>
      </c>
      <c r="C95" s="81">
        <f>10446864449.33</f>
        <v>10446864449.33</v>
      </c>
      <c r="D95" s="82"/>
      <c r="E95" s="81">
        <f>1744249920.09</f>
        <v>1744249920.09</v>
      </c>
      <c r="F95" s="82"/>
      <c r="G95" s="83">
        <f aca="true" t="shared" si="11" ref="G95:G100">IF($E$94=0,"",100*$E95/$E$94)</f>
        <v>21.684475149968755</v>
      </c>
      <c r="H95" s="84">
        <f aca="true" t="shared" si="12" ref="H95:H106">IF(C95=0,"",100*E95/C95)</f>
        <v>16.696396593925996</v>
      </c>
    </row>
    <row r="96" spans="2:8" ht="22.5">
      <c r="B96" s="85" t="s">
        <v>107</v>
      </c>
      <c r="C96" s="86">
        <f>250000000</f>
        <v>250000000</v>
      </c>
      <c r="D96" s="87"/>
      <c r="E96" s="86">
        <f>0</f>
        <v>0</v>
      </c>
      <c r="F96" s="87"/>
      <c r="G96" s="88">
        <f t="shared" si="11"/>
        <v>0</v>
      </c>
      <c r="H96" s="74">
        <f t="shared" si="12"/>
        <v>0</v>
      </c>
    </row>
    <row r="97" spans="2:8" ht="12.75">
      <c r="B97" s="85" t="s">
        <v>108</v>
      </c>
      <c r="C97" s="86">
        <f>119873439</f>
        <v>119873439</v>
      </c>
      <c r="D97" s="87"/>
      <c r="E97" s="86">
        <f>10842158.19</f>
        <v>10842158.19</v>
      </c>
      <c r="F97" s="87"/>
      <c r="G97" s="88">
        <f t="shared" si="11"/>
        <v>0.13478946287178512</v>
      </c>
      <c r="H97" s="74">
        <f t="shared" si="12"/>
        <v>9.044671013401059</v>
      </c>
    </row>
    <row r="98" spans="2:8" ht="12.75">
      <c r="B98" s="85" t="s">
        <v>109</v>
      </c>
      <c r="C98" s="86">
        <f>101980531.77</f>
        <v>101980531.77</v>
      </c>
      <c r="D98" s="87"/>
      <c r="E98" s="86">
        <f>111707863.45</f>
        <v>111707863.45</v>
      </c>
      <c r="F98" s="87"/>
      <c r="G98" s="88">
        <f t="shared" si="11"/>
        <v>1.3887496058550144</v>
      </c>
      <c r="H98" s="74">
        <f t="shared" si="12"/>
        <v>109.53842023685303</v>
      </c>
    </row>
    <row r="99" spans="2:8" ht="12.75">
      <c r="B99" s="85" t="s">
        <v>110</v>
      </c>
      <c r="C99" s="86">
        <f>0</f>
        <v>0</v>
      </c>
      <c r="D99" s="87"/>
      <c r="E99" s="86">
        <f>0</f>
        <v>0</v>
      </c>
      <c r="F99" s="87"/>
      <c r="G99" s="88">
        <f t="shared" si="11"/>
        <v>0</v>
      </c>
      <c r="H99" s="74">
        <f t="shared" si="12"/>
      </c>
    </row>
    <row r="100" spans="2:8" ht="37.5" customHeight="1">
      <c r="B100" s="85" t="s">
        <v>114</v>
      </c>
      <c r="C100" s="86">
        <f>3980903677.89</f>
        <v>3980903677.89</v>
      </c>
      <c r="D100" s="87"/>
      <c r="E100" s="86">
        <f>5780814946.57</f>
        <v>5780814946.57</v>
      </c>
      <c r="F100" s="87"/>
      <c r="G100" s="88">
        <f t="shared" si="11"/>
        <v>71.86695932254771</v>
      </c>
      <c r="H100" s="74">
        <f t="shared" si="12"/>
        <v>145.21363525263712</v>
      </c>
    </row>
    <row r="101" spans="2:8" ht="12.75">
      <c r="B101" s="85" t="s">
        <v>86</v>
      </c>
      <c r="C101" s="86">
        <f>3062512</f>
        <v>3062512</v>
      </c>
      <c r="D101" s="87"/>
      <c r="E101" s="86">
        <f>3062172.44</f>
        <v>3062172.44</v>
      </c>
      <c r="F101" s="87"/>
      <c r="G101" s="88"/>
      <c r="H101" s="74"/>
    </row>
    <row r="102" spans="2:8" ht="22.5">
      <c r="B102" s="89" t="s">
        <v>74</v>
      </c>
      <c r="C102" s="90">
        <f>3577726012.62</f>
        <v>3577726012.62</v>
      </c>
      <c r="D102" s="91"/>
      <c r="E102" s="90">
        <f>1292378118.56</f>
        <v>1292378118.56</v>
      </c>
      <c r="F102" s="91"/>
      <c r="G102" s="92">
        <f>IF($E$102=0,"",100*$E102/$E$102)</f>
        <v>100</v>
      </c>
      <c r="H102" s="54">
        <f t="shared" si="12"/>
        <v>36.12289241829282</v>
      </c>
    </row>
    <row r="103" spans="2:8" ht="33.75">
      <c r="B103" s="85" t="s">
        <v>111</v>
      </c>
      <c r="C103" s="86">
        <f>3474112675.62</f>
        <v>3474112675.62</v>
      </c>
      <c r="D103" s="87"/>
      <c r="E103" s="86">
        <f>1271275499.75</f>
        <v>1271275499.75</v>
      </c>
      <c r="F103" s="87"/>
      <c r="G103" s="88">
        <f>IF($E$102=0,"",100*$E103/$E$102)</f>
        <v>98.36714824346353</v>
      </c>
      <c r="H103" s="74">
        <f t="shared" si="12"/>
        <v>36.59281141545372</v>
      </c>
    </row>
    <row r="104" spans="2:8" ht="22.5">
      <c r="B104" s="85" t="s">
        <v>112</v>
      </c>
      <c r="C104" s="86">
        <f>486000000</f>
        <v>486000000</v>
      </c>
      <c r="D104" s="87"/>
      <c r="E104" s="86">
        <f>25000000</f>
        <v>25000000</v>
      </c>
      <c r="F104" s="87"/>
      <c r="G104" s="88">
        <f>IF($E$102=0,"",100*$E104/$E$102)</f>
        <v>1.9344183904827812</v>
      </c>
      <c r="H104" s="74">
        <f t="shared" si="12"/>
        <v>5.1440329218107</v>
      </c>
    </row>
    <row r="105" spans="2:8" ht="12.75">
      <c r="B105" s="85" t="s">
        <v>113</v>
      </c>
      <c r="C105" s="86">
        <f>100700825</f>
        <v>100700825</v>
      </c>
      <c r="D105" s="87"/>
      <c r="E105" s="86">
        <f>21102618.81</f>
        <v>21102618.81</v>
      </c>
      <c r="F105" s="87"/>
      <c r="G105" s="88">
        <f>IF($E$102=0,"",100*$E105/$E$102)</f>
        <v>1.6328517565364744</v>
      </c>
      <c r="H105" s="74">
        <f t="shared" si="12"/>
        <v>20.955755635567034</v>
      </c>
    </row>
    <row r="106" spans="2:8" ht="12.75">
      <c r="B106" s="85" t="s">
        <v>29</v>
      </c>
      <c r="C106" s="86">
        <f>2912512</f>
        <v>2912512</v>
      </c>
      <c r="D106" s="87"/>
      <c r="E106" s="86">
        <f>0</f>
        <v>0</v>
      </c>
      <c r="F106" s="87"/>
      <c r="G106" s="88">
        <f>IF($E$102=0,"",100*$E106/$E$102)</f>
        <v>0</v>
      </c>
      <c r="H106" s="74">
        <f t="shared" si="12"/>
        <v>0</v>
      </c>
    </row>
    <row r="107" spans="2:8" ht="12.75">
      <c r="B107" s="43"/>
      <c r="C107" s="43"/>
      <c r="D107" s="43"/>
      <c r="E107" s="43"/>
      <c r="F107" s="43"/>
      <c r="G107" s="43"/>
      <c r="H107" s="43"/>
    </row>
    <row r="108" spans="2:8" ht="12.75">
      <c r="B108" s="16" t="s">
        <v>16</v>
      </c>
      <c r="C108" s="110" t="s">
        <v>17</v>
      </c>
      <c r="D108" s="111"/>
      <c r="E108" s="110" t="s">
        <v>1</v>
      </c>
      <c r="F108" s="111"/>
      <c r="G108" s="17" t="s">
        <v>25</v>
      </c>
      <c r="H108" s="17" t="s">
        <v>26</v>
      </c>
    </row>
    <row r="109" spans="2:8" ht="12.75">
      <c r="B109" s="18"/>
      <c r="C109" s="112" t="s">
        <v>84</v>
      </c>
      <c r="D109" s="113"/>
      <c r="E109" s="113"/>
      <c r="F109" s="114"/>
      <c r="G109" s="115" t="s">
        <v>4</v>
      </c>
      <c r="H109" s="116"/>
    </row>
    <row r="110" spans="2:8" ht="12.75">
      <c r="B110" s="19">
        <v>1</v>
      </c>
      <c r="C110" s="20">
        <v>2</v>
      </c>
      <c r="D110" s="21"/>
      <c r="E110" s="20">
        <v>3</v>
      </c>
      <c r="F110" s="21"/>
      <c r="G110" s="22">
        <v>4</v>
      </c>
      <c r="H110" s="22">
        <v>5</v>
      </c>
    </row>
    <row r="111" spans="2:8" ht="28.5" customHeight="1">
      <c r="B111" s="93" t="s">
        <v>87</v>
      </c>
      <c r="C111" s="86">
        <f>11381489297.73</f>
        <v>11381489297.73</v>
      </c>
      <c r="D111" s="87"/>
      <c r="E111" s="86">
        <f>0</f>
        <v>0</v>
      </c>
      <c r="F111" s="94"/>
      <c r="G111" s="88"/>
      <c r="H111" s="74"/>
    </row>
    <row r="112" spans="2:8" ht="56.25">
      <c r="B112" s="93" t="s">
        <v>88</v>
      </c>
      <c r="C112" s="86">
        <f>250000000</f>
        <v>250000000</v>
      </c>
      <c r="D112" s="87"/>
      <c r="E112" s="86">
        <f>0</f>
        <v>0</v>
      </c>
      <c r="F112" s="87"/>
      <c r="G112" s="88"/>
      <c r="H112" s="74"/>
    </row>
    <row r="113" spans="2:8" ht="12.75">
      <c r="B113" s="93" t="s">
        <v>89</v>
      </c>
      <c r="C113" s="86">
        <f>7470499048.32</f>
        <v>7470499048.32</v>
      </c>
      <c r="D113" s="87"/>
      <c r="E113" s="86">
        <f>0</f>
        <v>0</v>
      </c>
      <c r="F113" s="87"/>
      <c r="G113" s="88"/>
      <c r="H113" s="74"/>
    </row>
    <row r="114" spans="2:8" ht="33.75">
      <c r="B114" s="93" t="s">
        <v>90</v>
      </c>
      <c r="C114" s="86">
        <f>0</f>
        <v>0</v>
      </c>
      <c r="D114" s="87"/>
      <c r="E114" s="86">
        <f>0</f>
        <v>0</v>
      </c>
      <c r="F114" s="87"/>
      <c r="G114" s="88"/>
      <c r="H114" s="74"/>
    </row>
    <row r="115" spans="2:8" ht="33.75">
      <c r="B115" s="93" t="s">
        <v>91</v>
      </c>
      <c r="C115" s="86">
        <f>101980531.77</f>
        <v>101980531.77</v>
      </c>
      <c r="D115" s="87"/>
      <c r="E115" s="86">
        <f>0</f>
        <v>0</v>
      </c>
      <c r="F115" s="87"/>
      <c r="G115" s="88"/>
      <c r="H115" s="74"/>
    </row>
    <row r="116" spans="2:8" ht="101.25">
      <c r="B116" s="93" t="s">
        <v>92</v>
      </c>
      <c r="C116" s="86">
        <f>3299350604.23</f>
        <v>3299350604.23</v>
      </c>
      <c r="D116" s="87"/>
      <c r="E116" s="86">
        <f>0</f>
        <v>0</v>
      </c>
      <c r="F116" s="87"/>
      <c r="G116" s="88"/>
      <c r="H116" s="74"/>
    </row>
    <row r="117" spans="2:8" ht="12.75">
      <c r="B117" s="95"/>
      <c r="C117" s="63"/>
      <c r="D117" s="63"/>
      <c r="E117" s="63"/>
      <c r="F117" s="63"/>
      <c r="G117" s="63"/>
      <c r="H117" s="63"/>
    </row>
    <row r="118" spans="2:6" ht="12.75">
      <c r="B118" s="15" t="s">
        <v>16</v>
      </c>
      <c r="C118" s="101" t="s">
        <v>1</v>
      </c>
      <c r="D118" s="99"/>
      <c r="E118" s="99"/>
      <c r="F118" s="100"/>
    </row>
    <row r="119" spans="2:6" ht="12.75">
      <c r="B119" s="15"/>
      <c r="C119" s="107" t="s">
        <v>84</v>
      </c>
      <c r="D119" s="108"/>
      <c r="E119" s="108"/>
      <c r="F119" s="109"/>
    </row>
    <row r="120" spans="2:6" ht="12.75">
      <c r="B120" s="10">
        <v>1</v>
      </c>
      <c r="C120" s="102">
        <v>2</v>
      </c>
      <c r="D120" s="103"/>
      <c r="E120" s="103"/>
      <c r="F120" s="104"/>
    </row>
    <row r="121" spans="2:6" ht="56.25">
      <c r="B121" s="96" t="s">
        <v>93</v>
      </c>
      <c r="C121" s="98">
        <f>0</f>
        <v>0</v>
      </c>
      <c r="D121" s="99"/>
      <c r="E121" s="99"/>
      <c r="F121" s="100"/>
    </row>
    <row r="122" spans="2:6" ht="45">
      <c r="B122" s="97" t="s">
        <v>94</v>
      </c>
      <c r="C122" s="98">
        <f>0</f>
        <v>0</v>
      </c>
      <c r="D122" s="99"/>
      <c r="E122" s="99"/>
      <c r="F122" s="100"/>
    </row>
    <row r="123" spans="2:6" ht="39.75" customHeight="1">
      <c r="B123" s="97" t="s">
        <v>95</v>
      </c>
      <c r="C123" s="98">
        <f>0</f>
        <v>0</v>
      </c>
      <c r="D123" s="99"/>
      <c r="E123" s="99"/>
      <c r="F123" s="100"/>
    </row>
    <row r="124" spans="2:6" ht="78.75">
      <c r="B124" s="97" t="s">
        <v>96</v>
      </c>
      <c r="C124" s="98">
        <f>0</f>
        <v>0</v>
      </c>
      <c r="D124" s="99"/>
      <c r="E124" s="99"/>
      <c r="F124" s="100"/>
    </row>
    <row r="125" spans="2:6" ht="56.25">
      <c r="B125" s="97" t="s">
        <v>97</v>
      </c>
      <c r="C125" s="98">
        <f>0</f>
        <v>0</v>
      </c>
      <c r="D125" s="99"/>
      <c r="E125" s="99"/>
      <c r="F125" s="100"/>
    </row>
    <row r="126" spans="2:6" ht="56.25">
      <c r="B126" s="93" t="s">
        <v>98</v>
      </c>
      <c r="C126" s="98">
        <f>0</f>
        <v>0</v>
      </c>
      <c r="D126" s="99"/>
      <c r="E126" s="99"/>
      <c r="F126" s="100"/>
    </row>
    <row r="127" spans="2:6" ht="56.25">
      <c r="B127" s="93" t="s">
        <v>99</v>
      </c>
      <c r="C127" s="98">
        <f>0</f>
        <v>0</v>
      </c>
      <c r="D127" s="99"/>
      <c r="E127" s="99"/>
      <c r="F127" s="100"/>
    </row>
    <row r="128" spans="2:6" ht="80.25" customHeight="1">
      <c r="B128" s="93" t="s">
        <v>115</v>
      </c>
      <c r="C128" s="98">
        <f>0</f>
        <v>0</v>
      </c>
      <c r="D128" s="99"/>
      <c r="E128" s="99"/>
      <c r="F128" s="100"/>
    </row>
    <row r="129" spans="2:6" ht="81" customHeight="1">
      <c r="B129" s="93" t="s">
        <v>116</v>
      </c>
      <c r="C129" s="98">
        <f>0</f>
        <v>0</v>
      </c>
      <c r="D129" s="99"/>
      <c r="E129" s="99"/>
      <c r="F129" s="100"/>
    </row>
  </sheetData>
  <sheetProtection/>
  <mergeCells count="50">
    <mergeCell ref="I75:J75"/>
    <mergeCell ref="I76:J76"/>
    <mergeCell ref="I77:J77"/>
    <mergeCell ref="I78:J78"/>
    <mergeCell ref="I80:J80"/>
    <mergeCell ref="B1:M1"/>
    <mergeCell ref="B2:B3"/>
    <mergeCell ref="C66:C68"/>
    <mergeCell ref="B66:B69"/>
    <mergeCell ref="K66:K68"/>
    <mergeCell ref="B89:M89"/>
    <mergeCell ref="I66:J68"/>
    <mergeCell ref="D66:D68"/>
    <mergeCell ref="E66:E68"/>
    <mergeCell ref="F67:F68"/>
    <mergeCell ref="F66:H66"/>
    <mergeCell ref="G67:H67"/>
    <mergeCell ref="I71:J71"/>
    <mergeCell ref="I72:J72"/>
    <mergeCell ref="L66:L68"/>
    <mergeCell ref="G109:H109"/>
    <mergeCell ref="C91:D91"/>
    <mergeCell ref="E91:F91"/>
    <mergeCell ref="C92:F92"/>
    <mergeCell ref="G92:H92"/>
    <mergeCell ref="I70:J70"/>
    <mergeCell ref="I73:J73"/>
    <mergeCell ref="I74:J74"/>
    <mergeCell ref="I81:J81"/>
    <mergeCell ref="I79:J79"/>
    <mergeCell ref="C124:F124"/>
    <mergeCell ref="K69:L69"/>
    <mergeCell ref="K3:M3"/>
    <mergeCell ref="C3:J3"/>
    <mergeCell ref="B64:M64"/>
    <mergeCell ref="C69:J69"/>
    <mergeCell ref="C119:F119"/>
    <mergeCell ref="C108:D108"/>
    <mergeCell ref="E108:F108"/>
    <mergeCell ref="C109:F109"/>
    <mergeCell ref="C125:F125"/>
    <mergeCell ref="C118:F118"/>
    <mergeCell ref="C126:F126"/>
    <mergeCell ref="C127:F127"/>
    <mergeCell ref="C128:F128"/>
    <mergeCell ref="C129:F129"/>
    <mergeCell ref="C120:F120"/>
    <mergeCell ref="C121:F121"/>
    <mergeCell ref="C122:F122"/>
    <mergeCell ref="C123:F123"/>
  </mergeCells>
  <printOptions/>
  <pageMargins left="0.1968503937007874" right="0.1968503937007874" top="0.3937007874015748" bottom="0.3937007874015748" header="0.31496062992125984" footer="0.1968503937007874"/>
  <pageSetup firstPageNumber="1" useFirstPageNumber="1" fitToHeight="2" fitToWidth="2" horizontalDpi="600" verticalDpi="600" orientation="landscape" paperSize="9" scale="85" r:id="rId3"/>
  <headerFooter alignWithMargins="0">
    <oddFooter>&amp;RStrona &amp;P z &amp;N</oddFooter>
  </headerFooter>
  <rowBreaks count="6" manualBreakCount="6">
    <brk id="22" max="255" man="1"/>
    <brk id="49" max="12" man="1"/>
    <brk id="63" max="255" man="1"/>
    <brk id="88" max="255" man="1"/>
    <brk id="107" max="255" man="1"/>
    <brk id="117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2018-03-19T09:19:34Z</cp:lastPrinted>
  <dcterms:created xsi:type="dcterms:W3CDTF">2001-05-17T08:58:03Z</dcterms:created>
  <dcterms:modified xsi:type="dcterms:W3CDTF">2020-08-24T20:29:31Z</dcterms:modified>
  <cp:category/>
  <cp:version/>
  <cp:contentType/>
  <cp:contentStatus/>
</cp:coreProperties>
</file>