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<sst xmlns="http://schemas.openxmlformats.org/spreadsheetml/2006/main" count="95" uniqueCount="78">
  <si>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</si>
  <si>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</si>
  <si>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</si>
  <si>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</si>
  <si>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</si>
  <si>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</si>
  <si>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</si>
  <si>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</si>
  <si>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</si>
  <si>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</si>
  <si>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</si>
  <si>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</si>
  <si>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</si>
  <si>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</si>
  <si>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</si>
  <si>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</si>
  <si>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</si>
  <si>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</si>
  <si>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</si>
  <si>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</si>
  <si>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</si>
  <si>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</si>
  <si>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</si>
  <si>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</si>
  <si>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</si>
  <si>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</si>
  <si>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</si>
  <si>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</si>
  <si>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</si>
  <si>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</si>
  <si>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</si>
  <si>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</si>
  <si>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</si>
  <si>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</si>
  <si>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</si>
  <si>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</si>
  <si>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</si>
  <si>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</si>
  <si>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</si>
  <si>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</si>
  <si>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</si>
  <si>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</si>
  <si>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</si>
  <si>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</si>
  <si>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</si>
  <si>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</si>
  <si>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</si>
  <si>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</si>
  <si>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</si>
  <si>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</si>
  <si>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</si>
  <si>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</si>
  <si>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</si>
  <si>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</si>
  <si>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</si>
  <si>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</si>
  <si>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</si>
  <si>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</si>
  <si>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</si>
  <si>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</si>
  <si>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</si>
  <si>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</si>
  <si>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</si>
  <si>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</si>
  <si>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</si>
  <si>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</si>
  <si>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</si>
  <si>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</si>
  <si>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</si>
  <si>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</si>
  <si>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</si>
  <si>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</si>
  <si>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</si>
  <si>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</si>
  <si>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</si>
  <si>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</si>
  <si>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</si>
  <si>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III Kwartały 2021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</si>
</sst>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86875191837.54</f>
        <v>86875191837.54</v>
      </c>
      <c r="C13" s="20">
        <f>64664829618.78</f>
        <v>64664829618.78</v>
      </c>
      <c r="D13" s="20">
        <f>3445479805.62</f>
        <v>3445479805.62</v>
      </c>
      <c r="E13" s="20">
        <f>640988075.67</f>
        <v>640988075.67</v>
      </c>
      <c r="F13" s="20">
        <f>594636932.53</f>
        <v>594636932.53</v>
      </c>
      <c r="G13" s="20">
        <f>2206078272.22</f>
        <v>2206078272.22</v>
      </c>
      <c r="H13" s="20">
        <f>3776525.2</f>
        <v>3776525.2</v>
      </c>
      <c r="I13" s="20">
        <f>0</f>
        <v>0</v>
      </c>
      <c r="J13" s="20">
        <f>56895355489.95</f>
        <v>56895355489.95</v>
      </c>
      <c r="K13" s="20">
        <f>2116392909.38</f>
        <v>2116392909.38</v>
      </c>
      <c r="L13" s="20">
        <f>2153540659.9</f>
        <v>2153540659.9</v>
      </c>
      <c r="M13" s="20">
        <f>40740292.82</f>
        <v>40740292.82</v>
      </c>
      <c r="N13" s="20">
        <f>13320461.11</f>
        <v>13320461.11</v>
      </c>
      <c r="O13" s="20">
        <f>22210362218.76</f>
        <v>22210362218.76</v>
      </c>
      <c r="P13" s="20">
        <f>22133661734.16</f>
        <v>22133661734.16</v>
      </c>
      <c r="Q13" s="20">
        <f>76700484.6</f>
        <v>76700484.6</v>
      </c>
    </row>
    <row r="14" spans="1:17" ht="41.25" customHeight="1">
      <c r="A14" s="18" t="s">
        <v>73</v>
      </c>
      <c r="B14" s="20">
        <f>3862858690.3</f>
        <v>3862858690.3</v>
      </c>
      <c r="C14" s="20">
        <f>3862858690.3</f>
        <v>3862858690.3</v>
      </c>
      <c r="D14" s="20">
        <f>858690.3</f>
        <v>858690.3</v>
      </c>
      <c r="E14" s="20">
        <f>0</f>
        <v>0</v>
      </c>
      <c r="F14" s="20">
        <f>0</f>
        <v>0</v>
      </c>
      <c r="G14" s="20">
        <f>858690.3</f>
        <v>858690.3</v>
      </c>
      <c r="H14" s="20">
        <f>0</f>
        <v>0</v>
      </c>
      <c r="I14" s="20">
        <f>0</f>
        <v>0</v>
      </c>
      <c r="J14" s="20">
        <f>3799810000</f>
        <v>3799810000</v>
      </c>
      <c r="K14" s="20">
        <f>60950000</f>
        <v>60950000</v>
      </c>
      <c r="L14" s="20">
        <f>1240000</f>
        <v>1240000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>
      <c r="A15" s="15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3862858690.3</f>
        <v>3862858690.3</v>
      </c>
      <c r="C16" s="21">
        <f>3862858690.3</f>
        <v>3862858690.3</v>
      </c>
      <c r="D16" s="21">
        <f>858690.3</f>
        <v>858690.3</v>
      </c>
      <c r="E16" s="21">
        <f>0</f>
        <v>0</v>
      </c>
      <c r="F16" s="21">
        <f>0</f>
        <v>0</v>
      </c>
      <c r="G16" s="21">
        <f>858690.3</f>
        <v>858690.3</v>
      </c>
      <c r="H16" s="21">
        <f>0</f>
        <v>0</v>
      </c>
      <c r="I16" s="21">
        <f>0</f>
        <v>0</v>
      </c>
      <c r="J16" s="21">
        <f>3799810000</f>
        <v>3799810000</v>
      </c>
      <c r="K16" s="21">
        <f>60950000</f>
        <v>60950000</v>
      </c>
      <c r="L16" s="21">
        <f>1240000</f>
        <v>1240000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3" customHeight="1">
      <c r="A17" s="18" t="s">
        <v>74</v>
      </c>
      <c r="B17" s="20">
        <f>82948129256.59</f>
        <v>82948129256.59</v>
      </c>
      <c r="C17" s="20">
        <f>60737767522.43</f>
        <v>60737767522.43</v>
      </c>
      <c r="D17" s="20">
        <f>3426723148.09</f>
        <v>3426723148.09</v>
      </c>
      <c r="E17" s="20">
        <f>639110082.73</f>
        <v>639110082.73</v>
      </c>
      <c r="F17" s="20">
        <f>594633442.43</f>
        <v>594633442.43</v>
      </c>
      <c r="G17" s="20">
        <f>2192979622.93</f>
        <v>2192979622.93</v>
      </c>
      <c r="H17" s="20">
        <f>0</f>
        <v>0</v>
      </c>
      <c r="I17" s="20">
        <f>0</f>
        <v>0</v>
      </c>
      <c r="J17" s="20">
        <f>53095530650.75</f>
        <v>53095530650.75</v>
      </c>
      <c r="K17" s="20">
        <f>2055100578.12</f>
        <v>2055100578.12</v>
      </c>
      <c r="L17" s="20">
        <f>2139067992.62</f>
        <v>2139067992.62</v>
      </c>
      <c r="M17" s="20">
        <f>14124006.28</f>
        <v>14124006.28</v>
      </c>
      <c r="N17" s="20">
        <f>7221146.57</f>
        <v>7221146.57</v>
      </c>
      <c r="O17" s="20">
        <f>22210361734.16</f>
        <v>22210361734.16</v>
      </c>
      <c r="P17" s="20">
        <f>22133661734.16</f>
        <v>22133661734.16</v>
      </c>
      <c r="Q17" s="20">
        <f>76700000</f>
        <v>76700000</v>
      </c>
    </row>
    <row r="18" spans="1:17" ht="22.5">
      <c r="A18" s="15" t="s">
        <v>46</v>
      </c>
      <c r="B18" s="21">
        <f>389662578.47</f>
        <v>389662578.47</v>
      </c>
      <c r="C18" s="21">
        <f>389662578.47</f>
        <v>389662578.47</v>
      </c>
      <c r="D18" s="21">
        <f>23524598.01</f>
        <v>23524598.01</v>
      </c>
      <c r="E18" s="21">
        <f>6526727.36</f>
        <v>6526727.36</v>
      </c>
      <c r="F18" s="21">
        <f>1406863.12</f>
        <v>1406863.12</v>
      </c>
      <c r="G18" s="21">
        <f>15591007.53</f>
        <v>15591007.53</v>
      </c>
      <c r="H18" s="21">
        <f>0</f>
        <v>0</v>
      </c>
      <c r="I18" s="21">
        <f>0</f>
        <v>0</v>
      </c>
      <c r="J18" s="21">
        <f>358744211.18</f>
        <v>358744211.18</v>
      </c>
      <c r="K18" s="21">
        <f>3749784.2</f>
        <v>3749784.2</v>
      </c>
      <c r="L18" s="21">
        <f>2079027.43</f>
        <v>2079027.43</v>
      </c>
      <c r="M18" s="21">
        <f>1458340</f>
        <v>1458340</v>
      </c>
      <c r="N18" s="21">
        <f>106617.65</f>
        <v>106617.65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82558466678.12</f>
        <v>82558466678.12</v>
      </c>
      <c r="C19" s="21">
        <f>60348104943.96</f>
        <v>60348104943.96</v>
      </c>
      <c r="D19" s="21">
        <f>3403198550.08</f>
        <v>3403198550.08</v>
      </c>
      <c r="E19" s="21">
        <f>632583355.37</f>
        <v>632583355.37</v>
      </c>
      <c r="F19" s="21">
        <f>593226579.31</f>
        <v>593226579.31</v>
      </c>
      <c r="G19" s="21">
        <f>2177388615.4</f>
        <v>2177388615.4</v>
      </c>
      <c r="H19" s="21">
        <f>0</f>
        <v>0</v>
      </c>
      <c r="I19" s="21">
        <f>0</f>
        <v>0</v>
      </c>
      <c r="J19" s="21">
        <f>52736786439.57</f>
        <v>52736786439.57</v>
      </c>
      <c r="K19" s="21">
        <f>2051350793.92</f>
        <v>2051350793.92</v>
      </c>
      <c r="L19" s="21">
        <f>2136988965.19</f>
        <v>2136988965.19</v>
      </c>
      <c r="M19" s="21">
        <f>12665666.28</f>
        <v>12665666.28</v>
      </c>
      <c r="N19" s="21">
        <f>7114528.92</f>
        <v>7114528.92</v>
      </c>
      <c r="O19" s="21">
        <f>22210361734.16</f>
        <v>22210361734.16</v>
      </c>
      <c r="P19" s="21">
        <f>22133661734.16</f>
        <v>22133661734.16</v>
      </c>
      <c r="Q19" s="21">
        <f>76700000</f>
        <v>76700000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64203890.65</f>
        <v>64203890.65</v>
      </c>
      <c r="C21" s="20">
        <f>64203406.05</f>
        <v>64203406.05</v>
      </c>
      <c r="D21" s="20">
        <f>17897967.23</f>
        <v>17897967.23</v>
      </c>
      <c r="E21" s="20">
        <f>1877992.94</f>
        <v>1877992.94</v>
      </c>
      <c r="F21" s="20">
        <f>3490.1</f>
        <v>3490.1</v>
      </c>
      <c r="G21" s="20">
        <f>12239958.99</f>
        <v>12239958.99</v>
      </c>
      <c r="H21" s="20">
        <f>3776525.2</f>
        <v>3776525.2</v>
      </c>
      <c r="I21" s="20">
        <f>0</f>
        <v>0</v>
      </c>
      <c r="J21" s="20">
        <f>14839.2</f>
        <v>14839.2</v>
      </c>
      <c r="K21" s="20">
        <f>342331.26</f>
        <v>342331.26</v>
      </c>
      <c r="L21" s="20">
        <f>13232667.28</f>
        <v>13232667.28</v>
      </c>
      <c r="M21" s="20">
        <f>26616286.54</f>
        <v>26616286.54</v>
      </c>
      <c r="N21" s="20">
        <f>6099314.54</f>
        <v>6099314.54</v>
      </c>
      <c r="O21" s="20">
        <f>484.6</f>
        <v>484.6</v>
      </c>
      <c r="P21" s="20">
        <f>0</f>
        <v>0</v>
      </c>
      <c r="Q21" s="20">
        <f>484.6</f>
        <v>484.6</v>
      </c>
    </row>
    <row r="22" spans="1:17" ht="33" customHeight="1">
      <c r="A22" s="16" t="s">
        <v>49</v>
      </c>
      <c r="B22" s="21">
        <f>33412386.86</f>
        <v>33412386.86</v>
      </c>
      <c r="C22" s="21">
        <f>33412386.86</f>
        <v>33412386.86</v>
      </c>
      <c r="D22" s="21">
        <f>4566179.68</f>
        <v>4566179.68</v>
      </c>
      <c r="E22" s="21">
        <f>1381681.04</f>
        <v>1381681.04</v>
      </c>
      <c r="F22" s="21">
        <f>3210.92</f>
        <v>3210.92</v>
      </c>
      <c r="G22" s="21">
        <f>3181287.72</f>
        <v>3181287.72</v>
      </c>
      <c r="H22" s="21">
        <f>0</f>
        <v>0</v>
      </c>
      <c r="I22" s="21">
        <f>0</f>
        <v>0</v>
      </c>
      <c r="J22" s="21">
        <f>0</f>
        <v>0</v>
      </c>
      <c r="K22" s="21">
        <f>919.25</f>
        <v>919.25</v>
      </c>
      <c r="L22" s="21">
        <f>10605119.84</f>
        <v>10605119.84</v>
      </c>
      <c r="M22" s="21">
        <f>13751031.7</f>
        <v>13751031.7</v>
      </c>
      <c r="N22" s="21">
        <f>4489136.39</f>
        <v>4489136.39</v>
      </c>
      <c r="O22" s="21">
        <f>0</f>
        <v>0</v>
      </c>
      <c r="P22" s="21">
        <f>0</f>
        <v>0</v>
      </c>
      <c r="Q22" s="21">
        <f>0</f>
        <v>0</v>
      </c>
    </row>
    <row r="23" spans="1:17" ht="23.25" customHeight="1">
      <c r="A23" s="16" t="s">
        <v>50</v>
      </c>
      <c r="B23" s="21">
        <f>30791503.79</f>
        <v>30791503.79</v>
      </c>
      <c r="C23" s="21">
        <f>30791019.19</f>
        <v>30791019.19</v>
      </c>
      <c r="D23" s="21">
        <f>13331787.55</f>
        <v>13331787.55</v>
      </c>
      <c r="E23" s="21">
        <f>496311.9</f>
        <v>496311.9</v>
      </c>
      <c r="F23" s="21">
        <f>279.18</f>
        <v>279.18</v>
      </c>
      <c r="G23" s="21">
        <f>9058671.27</f>
        <v>9058671.27</v>
      </c>
      <c r="H23" s="21">
        <f>3776525.2</f>
        <v>3776525.2</v>
      </c>
      <c r="I23" s="21">
        <f>0</f>
        <v>0</v>
      </c>
      <c r="J23" s="21">
        <f>14839.2</f>
        <v>14839.2</v>
      </c>
      <c r="K23" s="21">
        <f>341412.01</f>
        <v>341412.01</v>
      </c>
      <c r="L23" s="21">
        <f>2627547.44</f>
        <v>2627547.44</v>
      </c>
      <c r="M23" s="21">
        <f>12865254.84</f>
        <v>12865254.84</v>
      </c>
      <c r="N23" s="21">
        <f>1610178.15</f>
        <v>1610178.15</v>
      </c>
      <c r="O23" s="21">
        <f>484.6</f>
        <v>484.6</v>
      </c>
      <c r="P23" s="21">
        <f>0</f>
        <v>0</v>
      </c>
      <c r="Q23" s="21">
        <f>484.6</f>
        <v>484.6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1608577.3</f>
        <v>1608577.3</v>
      </c>
      <c r="C41" s="22">
        <f>1608577.3</f>
        <v>1608577.3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122784.2</f>
        <v>122784.2</v>
      </c>
      <c r="K41" s="22">
        <f>25820</f>
        <v>25820</v>
      </c>
      <c r="L41" s="22">
        <f>1125000</f>
        <v>1125000</v>
      </c>
      <c r="M41" s="22">
        <f>238412.1</f>
        <v>238412.1</v>
      </c>
      <c r="N41" s="22">
        <f>46561</f>
        <v>46561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1062961.16</f>
        <v>1062961.16</v>
      </c>
      <c r="C42" s="23">
        <f>1062961.16</f>
        <v>1062961.16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990000</f>
        <v>990000</v>
      </c>
      <c r="M42" s="23">
        <f>26400.16</f>
        <v>26400.16</v>
      </c>
      <c r="N42" s="23">
        <f>46561</f>
        <v>46561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545616.14</f>
        <v>545616.14</v>
      </c>
      <c r="C43" s="23">
        <f>545616.14</f>
        <v>545616.14</v>
      </c>
      <c r="D43" s="23">
        <f>50000</f>
        <v>50000</v>
      </c>
      <c r="E43" s="23">
        <f>50000</f>
        <v>50000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122784.2</f>
        <v>122784.2</v>
      </c>
      <c r="K43" s="23">
        <f>25820</f>
        <v>25820</v>
      </c>
      <c r="L43" s="23">
        <f>135000</f>
        <v>135000</v>
      </c>
      <c r="M43" s="23">
        <f>212011.94</f>
        <v>212011.94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1599035321.06</f>
        <v>1599035321.06</v>
      </c>
      <c r="C44" s="22">
        <f>1598883958.53</f>
        <v>1598883958.53</v>
      </c>
      <c r="D44" s="22">
        <f>586574786.8</f>
        <v>586574786.8</v>
      </c>
      <c r="E44" s="22">
        <f>666094.94</f>
        <v>666094.94</v>
      </c>
      <c r="F44" s="22">
        <f>11140247.06</f>
        <v>11140247.06</v>
      </c>
      <c r="G44" s="22">
        <f>558668444.8</f>
        <v>558668444.8</v>
      </c>
      <c r="H44" s="22">
        <f>16100000</f>
        <v>16100000</v>
      </c>
      <c r="I44" s="22">
        <f>0</f>
        <v>0</v>
      </c>
      <c r="J44" s="22">
        <f>51788.03</f>
        <v>51788.03</v>
      </c>
      <c r="K44" s="22">
        <f>2906731.34</f>
        <v>2906731.34</v>
      </c>
      <c r="L44" s="22">
        <f>508418836.87</f>
        <v>508418836.87</v>
      </c>
      <c r="M44" s="22">
        <f>465382692.13</f>
        <v>465382692.13</v>
      </c>
      <c r="N44" s="22">
        <f>35549123.36</f>
        <v>35549123.36</v>
      </c>
      <c r="O44" s="22">
        <f>151362.53</f>
        <v>151362.53</v>
      </c>
      <c r="P44" s="22">
        <f>3883.66</f>
        <v>3883.66</v>
      </c>
      <c r="Q44" s="22">
        <f>147478.87</f>
        <v>147478.87</v>
      </c>
    </row>
    <row r="45" spans="1:17" ht="32.25" customHeight="1">
      <c r="A45" s="17" t="s">
        <v>29</v>
      </c>
      <c r="B45" s="23">
        <f>149681762.89</f>
        <v>149681762.89</v>
      </c>
      <c r="C45" s="23">
        <f>149537085.45</f>
        <v>149537085.45</v>
      </c>
      <c r="D45" s="23">
        <f>74207471.77</f>
        <v>74207471.77</v>
      </c>
      <c r="E45" s="23">
        <f>309188.49</f>
        <v>309188.49</v>
      </c>
      <c r="F45" s="23">
        <f>4200000</f>
        <v>4200000</v>
      </c>
      <c r="G45" s="23">
        <f>53598283.28</f>
        <v>53598283.28</v>
      </c>
      <c r="H45" s="23">
        <f>16100000</f>
        <v>16100000</v>
      </c>
      <c r="I45" s="23">
        <f>0</f>
        <v>0</v>
      </c>
      <c r="J45" s="23">
        <f>0</f>
        <v>0</v>
      </c>
      <c r="K45" s="23">
        <f>4560</f>
        <v>4560</v>
      </c>
      <c r="L45" s="23">
        <f>36828223.67</f>
        <v>36828223.67</v>
      </c>
      <c r="M45" s="23">
        <f>23869000.09</f>
        <v>23869000.09</v>
      </c>
      <c r="N45" s="23">
        <f>14627829.92</f>
        <v>14627829.92</v>
      </c>
      <c r="O45" s="23">
        <f>144677.44</f>
        <v>144677.44</v>
      </c>
      <c r="P45" s="23">
        <f>0</f>
        <v>0</v>
      </c>
      <c r="Q45" s="23">
        <f>144677.44</f>
        <v>144677.44</v>
      </c>
    </row>
    <row r="46" spans="1:17" ht="32.25" customHeight="1">
      <c r="A46" s="17" t="s">
        <v>30</v>
      </c>
      <c r="B46" s="23">
        <f>1449353558.17</f>
        <v>1449353558.17</v>
      </c>
      <c r="C46" s="23">
        <f>1449346873.08</f>
        <v>1449346873.08</v>
      </c>
      <c r="D46" s="23">
        <f>512367315.03</f>
        <v>512367315.03</v>
      </c>
      <c r="E46" s="23">
        <f>356906.45</f>
        <v>356906.45</v>
      </c>
      <c r="F46" s="23">
        <f>6940247.06</f>
        <v>6940247.06</v>
      </c>
      <c r="G46" s="23">
        <f>505070161.52</f>
        <v>505070161.52</v>
      </c>
      <c r="H46" s="23">
        <f>0</f>
        <v>0</v>
      </c>
      <c r="I46" s="23">
        <f>0</f>
        <v>0</v>
      </c>
      <c r="J46" s="23">
        <f>51788.03</f>
        <v>51788.03</v>
      </c>
      <c r="K46" s="23">
        <f>2902171.34</f>
        <v>2902171.34</v>
      </c>
      <c r="L46" s="23">
        <f>471590613.2</f>
        <v>471590613.2</v>
      </c>
      <c r="M46" s="23">
        <f>441513692.04</f>
        <v>441513692.04</v>
      </c>
      <c r="N46" s="23">
        <f>20921293.44</f>
        <v>20921293.44</v>
      </c>
      <c r="O46" s="23">
        <f>6685.09</f>
        <v>6685.09</v>
      </c>
      <c r="P46" s="23">
        <f>3883.66</f>
        <v>3883.66</v>
      </c>
      <c r="Q46" s="23">
        <f>2801.43</f>
        <v>2801.43</v>
      </c>
    </row>
    <row r="47" spans="1:17" ht="35.25" customHeight="1">
      <c r="A47" s="27" t="s">
        <v>40</v>
      </c>
      <c r="B47" s="22">
        <f>80163650597.49</f>
        <v>80163650597.49</v>
      </c>
      <c r="C47" s="22">
        <f>80163467114.98</f>
        <v>80163467114.98</v>
      </c>
      <c r="D47" s="22">
        <f>45536645.03</f>
        <v>45536645.03</v>
      </c>
      <c r="E47" s="22">
        <f>15845314.36</f>
        <v>15845314.36</v>
      </c>
      <c r="F47" s="22">
        <f>42344.39</f>
        <v>42344.39</v>
      </c>
      <c r="G47" s="22">
        <f>29648986.28</f>
        <v>29648986.28</v>
      </c>
      <c r="H47" s="22">
        <f>0</f>
        <v>0</v>
      </c>
      <c r="I47" s="22">
        <f>22408210.93</f>
        <v>22408210.93</v>
      </c>
      <c r="J47" s="22">
        <f>80084391153.93</f>
        <v>80084391153.93</v>
      </c>
      <c r="K47" s="22">
        <f>151221.17</f>
        <v>151221.17</v>
      </c>
      <c r="L47" s="22">
        <f>9698541.66</f>
        <v>9698541.66</v>
      </c>
      <c r="M47" s="22">
        <f>1004106.18</f>
        <v>1004106.18</v>
      </c>
      <c r="N47" s="22">
        <f>277236.08</f>
        <v>277236.08</v>
      </c>
      <c r="O47" s="22">
        <f>183482.51</f>
        <v>183482.51</v>
      </c>
      <c r="P47" s="22">
        <f>183482.51</f>
        <v>183482.51</v>
      </c>
      <c r="Q47" s="22">
        <f>0</f>
        <v>0</v>
      </c>
    </row>
    <row r="48" spans="1:17" ht="28.5" customHeight="1">
      <c r="A48" s="17" t="s">
        <v>31</v>
      </c>
      <c r="B48" s="23">
        <f>19547011.67</f>
        <v>19547011.67</v>
      </c>
      <c r="C48" s="23">
        <f>19547011.67</f>
        <v>19547011.67</v>
      </c>
      <c r="D48" s="23">
        <f>19528727.09</f>
        <v>19528727.09</v>
      </c>
      <c r="E48" s="23">
        <f>0</f>
        <v>0</v>
      </c>
      <c r="F48" s="23">
        <f>0</f>
        <v>0</v>
      </c>
      <c r="G48" s="23">
        <f>19528727.09</f>
        <v>19528727.09</v>
      </c>
      <c r="H48" s="23">
        <f>0</f>
        <v>0</v>
      </c>
      <c r="I48" s="23">
        <f>0</f>
        <v>0</v>
      </c>
      <c r="J48" s="23">
        <f>18284.58</f>
        <v>18284.58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75019570473.43</f>
        <v>75019570473.43</v>
      </c>
      <c r="C49" s="23">
        <f>75019570473.43</f>
        <v>75019570473.43</v>
      </c>
      <c r="D49" s="23">
        <f>25702777.93</f>
        <v>25702777.93</v>
      </c>
      <c r="E49" s="23">
        <f>15747664.02</f>
        <v>15747664.02</v>
      </c>
      <c r="F49" s="23">
        <f>7558.81</f>
        <v>7558.81</v>
      </c>
      <c r="G49" s="23">
        <f>9947555.1</f>
        <v>9947555.1</v>
      </c>
      <c r="H49" s="23">
        <f>0</f>
        <v>0</v>
      </c>
      <c r="I49" s="23">
        <f>22355794.93</f>
        <v>22355794.93</v>
      </c>
      <c r="J49" s="23">
        <f>74962294752.16</f>
        <v>74962294752.16</v>
      </c>
      <c r="K49" s="23">
        <f>137754.95</f>
        <v>137754.95</v>
      </c>
      <c r="L49" s="23">
        <f>8115912.57</f>
        <v>8115912.57</v>
      </c>
      <c r="M49" s="23">
        <f>869197.77</f>
        <v>869197.77</v>
      </c>
      <c r="N49" s="23">
        <f>94283.12</f>
        <v>94283.12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5124533112.39</f>
        <v>5124533112.39</v>
      </c>
      <c r="C50" s="23">
        <f>5124349629.88</f>
        <v>5124349629.88</v>
      </c>
      <c r="D50" s="23">
        <f>305140.01</f>
        <v>305140.01</v>
      </c>
      <c r="E50" s="23">
        <f>97650.34</f>
        <v>97650.34</v>
      </c>
      <c r="F50" s="23">
        <f>34785.58</f>
        <v>34785.58</v>
      </c>
      <c r="G50" s="23">
        <f>172704.09</f>
        <v>172704.09</v>
      </c>
      <c r="H50" s="23">
        <f>0</f>
        <v>0</v>
      </c>
      <c r="I50" s="23">
        <f>52416</f>
        <v>52416</v>
      </c>
      <c r="J50" s="23">
        <f>5122078117.19</f>
        <v>5122078117.19</v>
      </c>
      <c r="K50" s="23">
        <f>13466.22</f>
        <v>13466.22</v>
      </c>
      <c r="L50" s="23">
        <f>1582629.09</f>
        <v>1582629.09</v>
      </c>
      <c r="M50" s="23">
        <f>134908.41</f>
        <v>134908.41</v>
      </c>
      <c r="N50" s="23">
        <f>182952.96</f>
        <v>182952.96</v>
      </c>
      <c r="O50" s="23">
        <f>183482.51</f>
        <v>183482.51</v>
      </c>
      <c r="P50" s="23">
        <f>183482.51</f>
        <v>183482.51</v>
      </c>
      <c r="Q50" s="23">
        <f>0</f>
        <v>0</v>
      </c>
    </row>
    <row r="51" spans="1:17" ht="35.25" customHeight="1">
      <c r="A51" s="27" t="s">
        <v>41</v>
      </c>
      <c r="B51" s="22">
        <f>24486291582.1</f>
        <v>24486291582.1</v>
      </c>
      <c r="C51" s="22">
        <f>24437547006.21</f>
        <v>24437547006.21</v>
      </c>
      <c r="D51" s="22">
        <f>634077434.31</f>
        <v>634077434.31</v>
      </c>
      <c r="E51" s="22">
        <f>237748669.06</f>
        <v>237748669.06</v>
      </c>
      <c r="F51" s="22">
        <f>15736343.67</f>
        <v>15736343.67</v>
      </c>
      <c r="G51" s="22">
        <f>375477687.12</f>
        <v>375477687.12</v>
      </c>
      <c r="H51" s="22">
        <f>5114734.46</f>
        <v>5114734.46</v>
      </c>
      <c r="I51" s="22">
        <f>4</f>
        <v>4</v>
      </c>
      <c r="J51" s="22">
        <f>14139143.25</f>
        <v>14139143.25</v>
      </c>
      <c r="K51" s="22">
        <f>37109921.17</f>
        <v>37109921.17</v>
      </c>
      <c r="L51" s="22">
        <f>6363610109.56</f>
        <v>6363610109.56</v>
      </c>
      <c r="M51" s="22">
        <f>17240566261.34</f>
        <v>17240566261.34</v>
      </c>
      <c r="N51" s="22">
        <f>148044132.58</f>
        <v>148044132.58</v>
      </c>
      <c r="O51" s="22">
        <f>48744575.89</f>
        <v>48744575.89</v>
      </c>
      <c r="P51" s="22">
        <f>29689940.87</f>
        <v>29689940.87</v>
      </c>
      <c r="Q51" s="22">
        <f>19054635.02</f>
        <v>19054635.02</v>
      </c>
    </row>
    <row r="52" spans="1:17" ht="28.5" customHeight="1">
      <c r="A52" s="17" t="s">
        <v>34</v>
      </c>
      <c r="B52" s="23">
        <f>6815140142.52</f>
        <v>6815140142.52</v>
      </c>
      <c r="C52" s="23">
        <f>6813289989.68</f>
        <v>6813289989.68</v>
      </c>
      <c r="D52" s="23">
        <f>83090881.49</f>
        <v>83090881.49</v>
      </c>
      <c r="E52" s="23">
        <f>3208568.57</f>
        <v>3208568.57</v>
      </c>
      <c r="F52" s="23">
        <f>1360578.44</f>
        <v>1360578.44</v>
      </c>
      <c r="G52" s="23">
        <f>77734430.02</f>
        <v>77734430.02</v>
      </c>
      <c r="H52" s="23">
        <f>787304.46</f>
        <v>787304.46</v>
      </c>
      <c r="I52" s="23">
        <f>0</f>
        <v>0</v>
      </c>
      <c r="J52" s="23">
        <f>954984.86</f>
        <v>954984.86</v>
      </c>
      <c r="K52" s="23">
        <f>3666038.68</f>
        <v>3666038.68</v>
      </c>
      <c r="L52" s="23">
        <f>998030990.09</f>
        <v>998030990.09</v>
      </c>
      <c r="M52" s="23">
        <f>5685472405.78</f>
        <v>5685472405.78</v>
      </c>
      <c r="N52" s="23">
        <f>42074688.78</f>
        <v>42074688.78</v>
      </c>
      <c r="O52" s="23">
        <f>1850152.84</f>
        <v>1850152.84</v>
      </c>
      <c r="P52" s="23">
        <f>620251.48</f>
        <v>620251.48</v>
      </c>
      <c r="Q52" s="23">
        <f>1229901.36</f>
        <v>1229901.36</v>
      </c>
    </row>
    <row r="53" spans="1:17" ht="28.5" customHeight="1">
      <c r="A53" s="17" t="s">
        <v>35</v>
      </c>
      <c r="B53" s="23">
        <f>17671151439.58</f>
        <v>17671151439.58</v>
      </c>
      <c r="C53" s="23">
        <f>17624257016.53</f>
        <v>17624257016.53</v>
      </c>
      <c r="D53" s="23">
        <f>550986552.82</f>
        <v>550986552.82</v>
      </c>
      <c r="E53" s="23">
        <f>234540100.49</f>
        <v>234540100.49</v>
      </c>
      <c r="F53" s="23">
        <f>14375765.23</f>
        <v>14375765.23</v>
      </c>
      <c r="G53" s="23">
        <f>297743257.1</f>
        <v>297743257.1</v>
      </c>
      <c r="H53" s="23">
        <f>4327430</f>
        <v>4327430</v>
      </c>
      <c r="I53" s="23">
        <f>4</f>
        <v>4</v>
      </c>
      <c r="J53" s="23">
        <f>13184158.39</f>
        <v>13184158.39</v>
      </c>
      <c r="K53" s="23">
        <f>33443882.49</f>
        <v>33443882.49</v>
      </c>
      <c r="L53" s="23">
        <f>5365579119.47</f>
        <v>5365579119.47</v>
      </c>
      <c r="M53" s="23">
        <f>11555093855.56</f>
        <v>11555093855.56</v>
      </c>
      <c r="N53" s="23">
        <f>105969443.8</f>
        <v>105969443.8</v>
      </c>
      <c r="O53" s="23">
        <f>46894423.05</f>
        <v>46894423.05</v>
      </c>
      <c r="P53" s="23">
        <f>29069689.39</f>
        <v>29069689.39</v>
      </c>
      <c r="Q53" s="23">
        <f>17824733.66</f>
        <v>17824733.66</v>
      </c>
    </row>
    <row r="54" spans="1:17" ht="35.25" customHeight="1">
      <c r="A54" s="27" t="s">
        <v>42</v>
      </c>
      <c r="B54" s="22">
        <f>16059848818.99</f>
        <v>16059848818.99</v>
      </c>
      <c r="C54" s="22">
        <f>16009619876.52</f>
        <v>16009619876.52</v>
      </c>
      <c r="D54" s="22">
        <f>3250415197.91</f>
        <v>3250415197.91</v>
      </c>
      <c r="E54" s="22">
        <f>2435812571.6</f>
        <v>2435812571.6</v>
      </c>
      <c r="F54" s="22">
        <f>68940599.89</f>
        <v>68940599.89</v>
      </c>
      <c r="G54" s="22">
        <f>726988481.33</f>
        <v>726988481.33</v>
      </c>
      <c r="H54" s="22">
        <f>18673545.09</f>
        <v>18673545.09</v>
      </c>
      <c r="I54" s="22">
        <f>1181833.56</f>
        <v>1181833.56</v>
      </c>
      <c r="J54" s="22">
        <f>14503753.68</f>
        <v>14503753.68</v>
      </c>
      <c r="K54" s="22">
        <f>58701787.34</f>
        <v>58701787.34</v>
      </c>
      <c r="L54" s="22">
        <f>7834987710.61</f>
        <v>7834987710.61</v>
      </c>
      <c r="M54" s="22">
        <f>4640978110</f>
        <v>4640978110</v>
      </c>
      <c r="N54" s="22">
        <f>208851483.42</f>
        <v>208851483.42</v>
      </c>
      <c r="O54" s="22">
        <f>50228942.47</f>
        <v>50228942.47</v>
      </c>
      <c r="P54" s="22">
        <f>22163984.44</f>
        <v>22163984.44</v>
      </c>
      <c r="Q54" s="22">
        <f>28064958.03</f>
        <v>28064958.03</v>
      </c>
    </row>
    <row r="55" spans="1:17" ht="28.5" customHeight="1">
      <c r="A55" s="17" t="s">
        <v>36</v>
      </c>
      <c r="B55" s="23">
        <f>1245822471.17</f>
        <v>1245822471.17</v>
      </c>
      <c r="C55" s="23">
        <f>1218284240.56</f>
        <v>1218284240.56</v>
      </c>
      <c r="D55" s="23">
        <f>129312898.39</f>
        <v>129312898.39</v>
      </c>
      <c r="E55" s="23">
        <f>6827443.39</f>
        <v>6827443.39</v>
      </c>
      <c r="F55" s="23">
        <f>3988083.59</f>
        <v>3988083.59</v>
      </c>
      <c r="G55" s="23">
        <f>116602452.32</f>
        <v>116602452.32</v>
      </c>
      <c r="H55" s="23">
        <f>1894919.09</f>
        <v>1894919.09</v>
      </c>
      <c r="I55" s="23">
        <f>0</f>
        <v>0</v>
      </c>
      <c r="J55" s="23">
        <f>1460340.53</f>
        <v>1460340.53</v>
      </c>
      <c r="K55" s="23">
        <f>2131516.41</f>
        <v>2131516.41</v>
      </c>
      <c r="L55" s="23">
        <f>447554915.4</f>
        <v>447554915.4</v>
      </c>
      <c r="M55" s="23">
        <f>621975552.18</f>
        <v>621975552.18</v>
      </c>
      <c r="N55" s="23">
        <f>15849017.65</f>
        <v>15849017.65</v>
      </c>
      <c r="O55" s="23">
        <f>27538230.61</f>
        <v>27538230.61</v>
      </c>
      <c r="P55" s="23">
        <f>234062.57</f>
        <v>234062.57</v>
      </c>
      <c r="Q55" s="23">
        <f>27304168.04</f>
        <v>27304168.04</v>
      </c>
    </row>
    <row r="56" spans="1:17" ht="47.25" customHeight="1">
      <c r="A56" s="17" t="s">
        <v>76</v>
      </c>
      <c r="B56" s="23">
        <f>8210003351.57</f>
        <v>8210003351.57</v>
      </c>
      <c r="C56" s="23">
        <f>8204893121.9</f>
        <v>8204893121.9</v>
      </c>
      <c r="D56" s="23">
        <f>2031012993.99</f>
        <v>2031012993.99</v>
      </c>
      <c r="E56" s="23">
        <f>1836911674.39</f>
        <v>1836911674.39</v>
      </c>
      <c r="F56" s="23">
        <f>42467029.7</f>
        <v>42467029.7</v>
      </c>
      <c r="G56" s="23">
        <f>141866467.37</f>
        <v>141866467.37</v>
      </c>
      <c r="H56" s="23">
        <f>9767822.53</f>
        <v>9767822.53</v>
      </c>
      <c r="I56" s="23">
        <f>1162706.08</f>
        <v>1162706.08</v>
      </c>
      <c r="J56" s="23">
        <f>9107320.59</f>
        <v>9107320.59</v>
      </c>
      <c r="K56" s="23">
        <f>11057625.38</f>
        <v>11057625.38</v>
      </c>
      <c r="L56" s="23">
        <f>4529427794.86</f>
        <v>4529427794.86</v>
      </c>
      <c r="M56" s="23">
        <f>1593285331.58</f>
        <v>1593285331.58</v>
      </c>
      <c r="N56" s="23">
        <f>29839349.42</f>
        <v>29839349.42</v>
      </c>
      <c r="O56" s="23">
        <f>5110229.67</f>
        <v>5110229.67</v>
      </c>
      <c r="P56" s="23">
        <f>4625634.07</f>
        <v>4625634.07</v>
      </c>
      <c r="Q56" s="23">
        <f>484595.6</f>
        <v>484595.6</v>
      </c>
    </row>
    <row r="57" spans="1:17" ht="35.25" customHeight="1">
      <c r="A57" s="17" t="s">
        <v>37</v>
      </c>
      <c r="B57" s="23">
        <f>6604022996.25</f>
        <v>6604022996.25</v>
      </c>
      <c r="C57" s="23">
        <f>6586442514.06</f>
        <v>6586442514.06</v>
      </c>
      <c r="D57" s="23">
        <f>1090089305.53</f>
        <v>1090089305.53</v>
      </c>
      <c r="E57" s="23">
        <f>592073453.82</f>
        <v>592073453.82</v>
      </c>
      <c r="F57" s="23">
        <f>22485486.6</f>
        <v>22485486.6</v>
      </c>
      <c r="G57" s="23">
        <f>468519561.64</f>
        <v>468519561.64</v>
      </c>
      <c r="H57" s="23">
        <f>7010803.47</f>
        <v>7010803.47</v>
      </c>
      <c r="I57" s="23">
        <f>19127.48</f>
        <v>19127.48</v>
      </c>
      <c r="J57" s="23">
        <f>3936092.56</f>
        <v>3936092.56</v>
      </c>
      <c r="K57" s="23">
        <f>45512645.55</f>
        <v>45512645.55</v>
      </c>
      <c r="L57" s="23">
        <f>2858005000.35</f>
        <v>2858005000.35</v>
      </c>
      <c r="M57" s="23">
        <f>2425717226.24</f>
        <v>2425717226.24</v>
      </c>
      <c r="N57" s="23">
        <f>163163116.35</f>
        <v>163163116.35</v>
      </c>
      <c r="O57" s="23">
        <f>17580482.19</f>
        <v>17580482.19</v>
      </c>
      <c r="P57" s="23">
        <f>17304287.8</f>
        <v>17304287.8</v>
      </c>
      <c r="Q57" s="23">
        <f>276194.39</f>
        <v>276194.39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4717053008.95</f>
        <v>4717053008.95</v>
      </c>
      <c r="G78" s="21">
        <f>1186629857.94</f>
        <v>1186629857.94</v>
      </c>
      <c r="H78" s="21">
        <f>70519636.63</f>
        <v>70519636.63</v>
      </c>
      <c r="I78" s="21">
        <f>327116606.71</f>
        <v>327116606.71</v>
      </c>
      <c r="J78" s="21">
        <f>779790134.38</f>
        <v>779790134.38</v>
      </c>
      <c r="K78" s="21">
        <f>9203480.22</f>
        <v>9203480.22</v>
      </c>
      <c r="L78" s="21">
        <f>3530423151.01</f>
        <v>3530423151.01</v>
      </c>
    </row>
    <row r="79" spans="2:12" ht="33.75" customHeight="1">
      <c r="B79" s="47" t="s">
        <v>52</v>
      </c>
      <c r="C79" s="48"/>
      <c r="D79" s="48"/>
      <c r="E79" s="49"/>
      <c r="F79" s="24">
        <f>13386027</f>
        <v>13386027</v>
      </c>
      <c r="G79" s="24">
        <f>1170883</f>
        <v>1170883</v>
      </c>
      <c r="H79" s="24">
        <f>0</f>
        <v>0</v>
      </c>
      <c r="I79" s="24">
        <f>0</f>
        <v>0</v>
      </c>
      <c r="J79" s="24">
        <f>1170883</f>
        <v>1170883</v>
      </c>
      <c r="K79" s="24">
        <f>0</f>
        <v>0</v>
      </c>
      <c r="L79" s="24">
        <f>12215144</f>
        <v>12215144</v>
      </c>
    </row>
    <row r="80" spans="2:12" ht="33.75" customHeight="1">
      <c r="B80" s="47" t="s">
        <v>53</v>
      </c>
      <c r="C80" s="48"/>
      <c r="D80" s="48"/>
      <c r="E80" s="49"/>
      <c r="F80" s="24">
        <f>165758014.78</f>
        <v>165758014.78</v>
      </c>
      <c r="G80" s="24">
        <f>59332016.69</f>
        <v>59332016.69</v>
      </c>
      <c r="H80" s="24">
        <f>200000</f>
        <v>200000</v>
      </c>
      <c r="I80" s="24">
        <f>4000000</f>
        <v>4000000</v>
      </c>
      <c r="J80" s="24">
        <f>55132016.69</f>
        <v>55132016.69</v>
      </c>
      <c r="K80" s="24">
        <f>0</f>
        <v>0</v>
      </c>
      <c r="L80" s="24">
        <f>106425998.09</f>
        <v>106425998.09</v>
      </c>
    </row>
    <row r="81" spans="2:12" ht="22.5" customHeight="1">
      <c r="B81" s="47" t="s">
        <v>54</v>
      </c>
      <c r="C81" s="48"/>
      <c r="D81" s="48"/>
      <c r="E81" s="49"/>
      <c r="F81" s="24">
        <f>89661261.66</f>
        <v>89661261.66</v>
      </c>
      <c r="G81" s="24">
        <f>42277483.1</f>
        <v>42277483.1</v>
      </c>
      <c r="H81" s="24">
        <f>0</f>
        <v>0</v>
      </c>
      <c r="I81" s="24">
        <f>0</f>
        <v>0</v>
      </c>
      <c r="J81" s="24">
        <f>42277483.1</f>
        <v>42277483.1</v>
      </c>
      <c r="K81" s="24">
        <f>0</f>
        <v>0</v>
      </c>
      <c r="L81" s="24">
        <f>47383778.56</f>
        <v>47383778.56</v>
      </c>
    </row>
    <row r="82" spans="2:12" ht="33.75" customHeight="1">
      <c r="B82" s="47" t="s">
        <v>55</v>
      </c>
      <c r="C82" s="48"/>
      <c r="D82" s="48"/>
      <c r="E82" s="49"/>
      <c r="F82" s="24">
        <f>14845658.95</f>
        <v>14845658.95</v>
      </c>
      <c r="G82" s="24">
        <f>12666021.85</f>
        <v>12666021.85</v>
      </c>
      <c r="H82" s="24">
        <f>0</f>
        <v>0</v>
      </c>
      <c r="I82" s="24">
        <f>0</f>
        <v>0</v>
      </c>
      <c r="J82" s="24">
        <f>12666021.85</f>
        <v>12666021.85</v>
      </c>
      <c r="K82" s="24">
        <f>0</f>
        <v>0</v>
      </c>
      <c r="L82" s="24">
        <f>2179637.1</f>
        <v>2179637.1</v>
      </c>
    </row>
    <row r="83" spans="2:12" ht="33.75" customHeight="1">
      <c r="B83" s="47" t="s">
        <v>56</v>
      </c>
      <c r="C83" s="48"/>
      <c r="D83" s="48"/>
      <c r="E83" s="49"/>
      <c r="F83" s="24">
        <f>19923622.29</f>
        <v>19923622.29</v>
      </c>
      <c r="G83" s="24">
        <f>11764583.78</f>
        <v>11764583.78</v>
      </c>
      <c r="H83" s="24">
        <f>0</f>
        <v>0</v>
      </c>
      <c r="I83" s="24">
        <f>0</f>
        <v>0</v>
      </c>
      <c r="J83" s="24">
        <f>11764583.78</f>
        <v>11764583.78</v>
      </c>
      <c r="K83" s="24">
        <f>0</f>
        <v>0</v>
      </c>
      <c r="L83" s="24">
        <f>8159038.51</f>
        <v>8159038.51</v>
      </c>
    </row>
    <row r="84" spans="2:12" ht="33" customHeight="1">
      <c r="B84" s="50" t="s">
        <v>57</v>
      </c>
      <c r="C84" s="51"/>
      <c r="D84" s="51"/>
      <c r="E84" s="52"/>
      <c r="F84" s="21">
        <f>665823.94</f>
        <v>665823.94</v>
      </c>
      <c r="G84" s="21">
        <f>503768.46</f>
        <v>503768.46</v>
      </c>
      <c r="H84" s="21">
        <f>0</f>
        <v>0</v>
      </c>
      <c r="I84" s="21">
        <f>0</f>
        <v>0</v>
      </c>
      <c r="J84" s="21">
        <f>503768.46</f>
        <v>503768.46</v>
      </c>
      <c r="K84" s="21">
        <f>0</f>
        <v>0</v>
      </c>
      <c r="L84" s="21">
        <f>162055.48</f>
        <v>162055.48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2604</f>
        <v>2604</v>
      </c>
      <c r="H90" s="55"/>
      <c r="I90" s="56">
        <f>23976726581.15</f>
        <v>23976726581.15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202</f>
        <v>202</v>
      </c>
      <c r="H91" s="62"/>
      <c r="I91" s="63">
        <f>-540559274.79</f>
        <v>-540559274.79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2021-12-08T11:15:06Z</dcterms:modified>
  <cp:category/>
  <cp:version/>
  <cp:contentType/>
  <cp:contentStatus/>
</cp:coreProperties>
</file>