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<sst xmlns="http://schemas.openxmlformats.org/spreadsheetml/2006/main" count="95" uniqueCount="78">
  <si>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</si>
  <si>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</si>
  <si>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</si>
  <si>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</si>
  <si>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</si>
  <si>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</si>
  <si>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</si>
  <si>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</si>
  <si>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</si>
  <si>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</si>
  <si>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</si>
  <si>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</si>
  <si>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</si>
  <si>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</si>
  <si>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</si>
  <si>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</si>
  <si>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</si>
  <si>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</si>
  <si>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</si>
  <si>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</si>
  <si>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</si>
  <si>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</si>
  <si>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</si>
  <si>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</si>
  <si>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</si>
  <si>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</si>
  <si>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</si>
  <si>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</si>
  <si>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</si>
  <si>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</si>
  <si>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</si>
  <si>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</si>
  <si>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</si>
  <si>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</si>
  <si>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</si>
  <si>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</si>
  <si>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</si>
  <si>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</si>
  <si>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</si>
  <si>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</si>
  <si>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</si>
  <si>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</si>
  <si>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</si>
  <si>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</si>
  <si>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E1.1 krótkotermionowe</t>
  </si>
  <si>
    <t>E1.2 długoterminowe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</si>
  <si>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</si>
  <si>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</si>
  <si>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</si>
  <si>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</si>
  <si>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</si>
  <si>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</si>
  <si>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</si>
  <si>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</si>
  <si>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</si>
  <si>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</si>
  <si>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</si>
  <si>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</si>
  <si>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</si>
  <si>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</si>
  <si>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</si>
  <si>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</si>
  <si>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</si>
  <si>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</si>
  <si>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</si>
  <si>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</si>
  <si>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</si>
  <si>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</si>
  <si>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</si>
  <si>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</si>
  <si>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</si>
  <si>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</si>
  <si>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</si>
  <si>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E1 papiery wartościowe (E1.1+E1.2)</t>
  </si>
  <si>
    <t>E2 kredyty i pożyczki (E2.1+E2.2)</t>
  </si>
  <si>
    <t>E4  wymagalne zobowiązania (E4.1+E4.2)</t>
  </si>
  <si>
    <t>N5.2 z tytułu podatków i składek na ubezpieczenia społ.</t>
  </si>
  <si>
    <t>Informacja z wykonania budżetów jednostek samorządu terytorialnego za I Kwartał 2021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</si>
</sst>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7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3" fillId="0" borderId="19" xfId="88" applyFont="1" applyBorder="1" applyAlignment="1">
      <alignment horizontal="left" vertical="top" wrapText="1"/>
      <protection/>
    </xf>
    <xf numFmtId="0" fontId="29" fillId="0" borderId="20" xfId="0" applyFont="1" applyFill="1" applyBorder="1" applyAlignment="1">
      <alignment vertical="top" wrapText="1"/>
    </xf>
    <xf numFmtId="0" fontId="8" fillId="40" borderId="19" xfId="88" applyFont="1" applyFill="1" applyBorder="1" applyAlignment="1">
      <alignment horizontal="left" vertical="top" wrapText="1"/>
      <protection/>
    </xf>
    <xf numFmtId="0" fontId="3" fillId="40" borderId="19" xfId="88" applyFont="1" applyFill="1" applyBorder="1" applyAlignment="1">
      <alignment horizontal="left" vertical="top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8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8" fillId="50" borderId="20" xfId="0" applyFont="1" applyFill="1" applyBorder="1" applyAlignment="1">
      <alignment vertical="top" wrapText="1"/>
    </xf>
    <xf numFmtId="0" fontId="3" fillId="2" borderId="19" xfId="88" applyFont="1" applyFill="1" applyBorder="1" applyAlignment="1">
      <alignment horizontal="center" vertical="center" wrapText="1"/>
      <protection/>
    </xf>
    <xf numFmtId="0" fontId="8" fillId="2" borderId="21" xfId="88" applyFont="1" applyFill="1" applyBorder="1" applyAlignment="1">
      <alignment horizontal="center" vertical="center" wrapText="1"/>
      <protection/>
    </xf>
    <xf numFmtId="0" fontId="8" fillId="2" borderId="22" xfId="88" applyFont="1" applyFill="1" applyBorder="1" applyAlignment="1">
      <alignment horizontal="center" vertical="center" wrapText="1"/>
      <protection/>
    </xf>
    <xf numFmtId="0" fontId="8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5" xfId="88" applyFont="1" applyFill="1" applyBorder="1" applyAlignment="1">
      <alignment horizontal="center" vertical="center" wrapText="1"/>
      <protection/>
    </xf>
    <xf numFmtId="0" fontId="8" fillId="2" borderId="24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3" fontId="7" fillId="0" borderId="21" xfId="88" applyNumberFormat="1" applyFont="1" applyFill="1" applyBorder="1" applyAlignment="1">
      <alignment horizontal="righ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1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16.375" style="2" customWidth="1"/>
    <col min="2" max="2" width="14.75390625" style="2" customWidth="1"/>
    <col min="3" max="3" width="15.125" style="2" customWidth="1"/>
    <col min="4" max="4" width="12.625" style="2" customWidth="1"/>
    <col min="5" max="5" width="11.375" style="2" customWidth="1"/>
    <col min="6" max="7" width="12.625" style="2" customWidth="1"/>
    <col min="8" max="8" width="12.00390625" style="2" customWidth="1"/>
    <col min="9" max="9" width="11.75390625" style="2" customWidth="1"/>
    <col min="10" max="10" width="13.00390625" style="2" customWidth="1"/>
    <col min="11" max="11" width="12.125" style="2" customWidth="1"/>
    <col min="12" max="12" width="13.25390625" style="2" customWidth="1"/>
    <col min="13" max="13" width="12.875" style="2" customWidth="1"/>
    <col min="14" max="14" width="12.00390625" style="2" customWidth="1"/>
    <col min="15" max="17" width="11.75390625" style="2" customWidth="1"/>
    <col min="18" max="16384" width="9.125" style="2" customWidth="1"/>
  </cols>
  <sheetData>
    <row r="1" spans="1:13" ht="75" customHeight="1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2:17" ht="13.5" customHeight="1">
      <c r="B5" s="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7"/>
      <c r="O5" s="7"/>
      <c r="P5" s="7"/>
      <c r="Q5" s="7"/>
    </row>
    <row r="6" spans="1:17" ht="13.5" customHeight="1">
      <c r="A6" s="40" t="s">
        <v>0</v>
      </c>
      <c r="B6" s="37" t="s">
        <v>59</v>
      </c>
      <c r="C6" s="44" t="s">
        <v>63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44" t="s">
        <v>62</v>
      </c>
      <c r="P6" s="45"/>
      <c r="Q6" s="46"/>
    </row>
    <row r="7" spans="1:17" ht="13.5" customHeight="1">
      <c r="A7" s="41"/>
      <c r="B7" s="33"/>
      <c r="C7" s="32" t="s">
        <v>60</v>
      </c>
      <c r="D7" s="32" t="s">
        <v>71</v>
      </c>
      <c r="E7" s="32" t="s">
        <v>64</v>
      </c>
      <c r="F7" s="32" t="s">
        <v>65</v>
      </c>
      <c r="G7" s="32" t="s">
        <v>24</v>
      </c>
      <c r="H7" s="32" t="s">
        <v>25</v>
      </c>
      <c r="I7" s="38" t="s">
        <v>61</v>
      </c>
      <c r="J7" s="32" t="s">
        <v>13</v>
      </c>
      <c r="K7" s="32" t="s">
        <v>14</v>
      </c>
      <c r="L7" s="32" t="s">
        <v>15</v>
      </c>
      <c r="M7" s="32" t="s">
        <v>16</v>
      </c>
      <c r="N7" s="33" t="s">
        <v>17</v>
      </c>
      <c r="O7" s="28" t="s">
        <v>18</v>
      </c>
      <c r="P7" s="28" t="s">
        <v>19</v>
      </c>
      <c r="Q7" s="28" t="s">
        <v>20</v>
      </c>
    </row>
    <row r="8" spans="1:17" ht="13.5" customHeight="1">
      <c r="A8" s="41"/>
      <c r="B8" s="33"/>
      <c r="C8" s="28"/>
      <c r="D8" s="28"/>
      <c r="E8" s="28"/>
      <c r="F8" s="28"/>
      <c r="G8" s="28"/>
      <c r="H8" s="28"/>
      <c r="I8" s="38"/>
      <c r="J8" s="28"/>
      <c r="K8" s="28"/>
      <c r="L8" s="28"/>
      <c r="M8" s="28"/>
      <c r="N8" s="33"/>
      <c r="O8" s="28"/>
      <c r="P8" s="28"/>
      <c r="Q8" s="28"/>
    </row>
    <row r="9" spans="1:17" ht="13.5" customHeight="1">
      <c r="A9" s="41"/>
      <c r="B9" s="33"/>
      <c r="C9" s="28"/>
      <c r="D9" s="28"/>
      <c r="E9" s="28"/>
      <c r="F9" s="28"/>
      <c r="G9" s="28"/>
      <c r="H9" s="28"/>
      <c r="I9" s="38"/>
      <c r="J9" s="28"/>
      <c r="K9" s="28"/>
      <c r="L9" s="28"/>
      <c r="M9" s="28"/>
      <c r="N9" s="33"/>
      <c r="O9" s="28"/>
      <c r="P9" s="28"/>
      <c r="Q9" s="28"/>
    </row>
    <row r="10" spans="1:17" ht="11.25" customHeight="1">
      <c r="A10" s="41"/>
      <c r="B10" s="33"/>
      <c r="C10" s="28"/>
      <c r="D10" s="28"/>
      <c r="E10" s="28"/>
      <c r="F10" s="28"/>
      <c r="G10" s="28"/>
      <c r="H10" s="28"/>
      <c r="I10" s="38"/>
      <c r="J10" s="28"/>
      <c r="K10" s="28"/>
      <c r="L10" s="28"/>
      <c r="M10" s="28"/>
      <c r="N10" s="33"/>
      <c r="O10" s="28"/>
      <c r="P10" s="28"/>
      <c r="Q10" s="28"/>
    </row>
    <row r="11" spans="1:17" ht="27.75" customHeight="1">
      <c r="A11" s="42"/>
      <c r="B11" s="32"/>
      <c r="C11" s="28"/>
      <c r="D11" s="28"/>
      <c r="E11" s="28"/>
      <c r="F11" s="28"/>
      <c r="G11" s="28"/>
      <c r="H11" s="28"/>
      <c r="I11" s="39"/>
      <c r="J11" s="28"/>
      <c r="K11" s="28"/>
      <c r="L11" s="28"/>
      <c r="M11" s="28"/>
      <c r="N11" s="32"/>
      <c r="O11" s="28"/>
      <c r="P11" s="28"/>
      <c r="Q11" s="28"/>
    </row>
    <row r="12" spans="1:17" ht="13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</row>
    <row r="13" spans="1:17" ht="52.5" customHeight="1">
      <c r="A13" s="18" t="s">
        <v>43</v>
      </c>
      <c r="B13" s="20">
        <f>88386961563.85</f>
        <v>88386961563.85</v>
      </c>
      <c r="C13" s="20">
        <f>66110604851.05</f>
        <v>66110604851.05</v>
      </c>
      <c r="D13" s="20">
        <f>3573199165.45</f>
        <v>3573199165.45</v>
      </c>
      <c r="E13" s="20">
        <f>692637741.58</f>
        <v>692637741.58</v>
      </c>
      <c r="F13" s="20">
        <f>577876006.49</f>
        <v>577876006.49</v>
      </c>
      <c r="G13" s="20">
        <f>2300263422.39</f>
        <v>2300263422.39</v>
      </c>
      <c r="H13" s="20">
        <f>2421994.99</f>
        <v>2421994.99</v>
      </c>
      <c r="I13" s="20">
        <f>0</f>
        <v>0</v>
      </c>
      <c r="J13" s="20">
        <f>58360890357.31</f>
        <v>58360890357.31</v>
      </c>
      <c r="K13" s="20">
        <f>2048001534.19</f>
        <v>2048001534.19</v>
      </c>
      <c r="L13" s="20">
        <f>2079435231.96</f>
        <v>2079435231.96</v>
      </c>
      <c r="M13" s="20">
        <f>33587352.33</f>
        <v>33587352.33</v>
      </c>
      <c r="N13" s="20">
        <f>15491209.81</f>
        <v>15491209.81</v>
      </c>
      <c r="O13" s="20">
        <f>22276356712.8</f>
        <v>22276356712.8</v>
      </c>
      <c r="P13" s="20">
        <f>22199655692.19</f>
        <v>22199655692.19</v>
      </c>
      <c r="Q13" s="20">
        <f>76701020.61</f>
        <v>76701020.61</v>
      </c>
    </row>
    <row r="14" spans="1:17" ht="41.25" customHeight="1">
      <c r="A14" s="18" t="s">
        <v>73</v>
      </c>
      <c r="B14" s="20">
        <f>3347935693.23</f>
        <v>3347935693.23</v>
      </c>
      <c r="C14" s="20">
        <f>3347935693.23</f>
        <v>3347935693.23</v>
      </c>
      <c r="D14" s="20">
        <f>513000</f>
        <v>513000</v>
      </c>
      <c r="E14" s="20">
        <f>0</f>
        <v>0</v>
      </c>
      <c r="F14" s="20">
        <f>0</f>
        <v>0</v>
      </c>
      <c r="G14" s="20">
        <f>513000</f>
        <v>513000</v>
      </c>
      <c r="H14" s="20">
        <f>0</f>
        <v>0</v>
      </c>
      <c r="I14" s="20">
        <f>0</f>
        <v>0</v>
      </c>
      <c r="J14" s="20">
        <f>3285232693.23</f>
        <v>3285232693.23</v>
      </c>
      <c r="K14" s="20">
        <f>60950000</f>
        <v>60950000</v>
      </c>
      <c r="L14" s="20">
        <f>1240000</f>
        <v>1240000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2.5">
      <c r="A15" s="15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3.25" customHeight="1">
      <c r="A16" s="15" t="s">
        <v>45</v>
      </c>
      <c r="B16" s="21">
        <f>3347935693.23</f>
        <v>3347935693.23</v>
      </c>
      <c r="C16" s="21">
        <f>3347935693.23</f>
        <v>3347935693.23</v>
      </c>
      <c r="D16" s="21">
        <f>513000</f>
        <v>513000</v>
      </c>
      <c r="E16" s="21">
        <f>0</f>
        <v>0</v>
      </c>
      <c r="F16" s="21">
        <f>0</f>
        <v>0</v>
      </c>
      <c r="G16" s="21">
        <f>513000</f>
        <v>513000</v>
      </c>
      <c r="H16" s="21">
        <f>0</f>
        <v>0</v>
      </c>
      <c r="I16" s="21">
        <f>0</f>
        <v>0</v>
      </c>
      <c r="J16" s="21">
        <f>3285232693.23</f>
        <v>3285232693.23</v>
      </c>
      <c r="K16" s="21">
        <f>60950000</f>
        <v>60950000</v>
      </c>
      <c r="L16" s="21">
        <f>1240000</f>
        <v>1240000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3" customHeight="1">
      <c r="A17" s="18" t="s">
        <v>74</v>
      </c>
      <c r="B17" s="20">
        <f>84971554664.15</f>
        <v>84971554664.15</v>
      </c>
      <c r="C17" s="20">
        <f>62695198971.96</f>
        <v>62695198971.96</v>
      </c>
      <c r="D17" s="20">
        <f>3552239647.5</f>
        <v>3552239647.5</v>
      </c>
      <c r="E17" s="20">
        <f>690191883.5</f>
        <v>690191883.5</v>
      </c>
      <c r="F17" s="20">
        <f>575187508.36</f>
        <v>575187508.36</v>
      </c>
      <c r="G17" s="20">
        <f>2286811465.41</f>
        <v>2286811465.41</v>
      </c>
      <c r="H17" s="20">
        <f>48790.23</f>
        <v>48790.23</v>
      </c>
      <c r="I17" s="20">
        <f>0</f>
        <v>0</v>
      </c>
      <c r="J17" s="20">
        <f>55075322875.79</f>
        <v>55075322875.79</v>
      </c>
      <c r="K17" s="20">
        <f>1987048853.69</f>
        <v>1987048853.69</v>
      </c>
      <c r="L17" s="20">
        <f>2059622424.12</f>
        <v>2059622424.12</v>
      </c>
      <c r="M17" s="20">
        <f>12383022.88</f>
        <v>12383022.88</v>
      </c>
      <c r="N17" s="20">
        <f>8582147.98</f>
        <v>8582147.98</v>
      </c>
      <c r="O17" s="20">
        <f>22276355692.19</f>
        <v>22276355692.19</v>
      </c>
      <c r="P17" s="20">
        <f>22199655692.19</f>
        <v>22199655692.19</v>
      </c>
      <c r="Q17" s="20">
        <f>76700000</f>
        <v>76700000</v>
      </c>
    </row>
    <row r="18" spans="1:17" ht="22.5">
      <c r="A18" s="15" t="s">
        <v>46</v>
      </c>
      <c r="B18" s="21">
        <f>251648680.24</f>
        <v>251648680.24</v>
      </c>
      <c r="C18" s="21">
        <f>251648680.24</f>
        <v>251648680.24</v>
      </c>
      <c r="D18" s="21">
        <f>17713445.36</f>
        <v>17713445.36</v>
      </c>
      <c r="E18" s="21">
        <f>9247160.54</f>
        <v>9247160.54</v>
      </c>
      <c r="F18" s="21">
        <f>2196102.85</f>
        <v>2196102.85</v>
      </c>
      <c r="G18" s="21">
        <f>6270181.97</f>
        <v>6270181.97</v>
      </c>
      <c r="H18" s="21">
        <f>0</f>
        <v>0</v>
      </c>
      <c r="I18" s="21">
        <f>0</f>
        <v>0</v>
      </c>
      <c r="J18" s="21">
        <f>229844052.9</f>
        <v>229844052.9</v>
      </c>
      <c r="K18" s="21">
        <f>371740.52</f>
        <v>371740.52</v>
      </c>
      <c r="L18" s="21">
        <f>3371028.51</f>
        <v>3371028.51</v>
      </c>
      <c r="M18" s="21">
        <f>28560</f>
        <v>28560</v>
      </c>
      <c r="N18" s="21">
        <f>319852.95</f>
        <v>319852.95</v>
      </c>
      <c r="O18" s="21">
        <f>0</f>
        <v>0</v>
      </c>
      <c r="P18" s="21">
        <f>0</f>
        <v>0</v>
      </c>
      <c r="Q18" s="21">
        <f>0</f>
        <v>0</v>
      </c>
    </row>
    <row r="19" spans="1:17" ht="24" customHeight="1">
      <c r="A19" s="15" t="s">
        <v>47</v>
      </c>
      <c r="B19" s="21">
        <f>84719905983.91</f>
        <v>84719905983.91</v>
      </c>
      <c r="C19" s="21">
        <f>62443550291.72</f>
        <v>62443550291.72</v>
      </c>
      <c r="D19" s="21">
        <f>3534526202.14</f>
        <v>3534526202.14</v>
      </c>
      <c r="E19" s="21">
        <f>680944722.96</f>
        <v>680944722.96</v>
      </c>
      <c r="F19" s="21">
        <f>572991405.51</f>
        <v>572991405.51</v>
      </c>
      <c r="G19" s="21">
        <f>2280541283.44</f>
        <v>2280541283.44</v>
      </c>
      <c r="H19" s="21">
        <f>48790.23</f>
        <v>48790.23</v>
      </c>
      <c r="I19" s="21">
        <f>0</f>
        <v>0</v>
      </c>
      <c r="J19" s="21">
        <f>54845478822.89</f>
        <v>54845478822.89</v>
      </c>
      <c r="K19" s="21">
        <f>1986677113.17</f>
        <v>1986677113.17</v>
      </c>
      <c r="L19" s="21">
        <f>2056251395.61</f>
        <v>2056251395.61</v>
      </c>
      <c r="M19" s="21">
        <f>12354462.88</f>
        <v>12354462.88</v>
      </c>
      <c r="N19" s="21">
        <f>8262295.03</f>
        <v>8262295.03</v>
      </c>
      <c r="O19" s="21">
        <f>22276355692.19</f>
        <v>22276355692.19</v>
      </c>
      <c r="P19" s="21">
        <f>22199655692.19</f>
        <v>22199655692.19</v>
      </c>
      <c r="Q19" s="21">
        <f>76700000</f>
        <v>76700000</v>
      </c>
    </row>
    <row r="20" spans="1:17" ht="24.75" customHeight="1">
      <c r="A20" s="25" t="s">
        <v>48</v>
      </c>
      <c r="B20" s="26">
        <f>3000000</f>
        <v>3000000</v>
      </c>
      <c r="C20" s="26">
        <f>3000000</f>
        <v>3000000</v>
      </c>
      <c r="D20" s="26">
        <f>3000000</f>
        <v>3000000</v>
      </c>
      <c r="E20" s="26">
        <f>0</f>
        <v>0</v>
      </c>
      <c r="F20" s="26">
        <f>0</f>
        <v>0</v>
      </c>
      <c r="G20" s="26">
        <f>3000000</f>
        <v>3000000</v>
      </c>
      <c r="H20" s="26">
        <f>0</f>
        <v>0</v>
      </c>
      <c r="I20" s="26">
        <f>0</f>
        <v>0</v>
      </c>
      <c r="J20" s="26">
        <f>0</f>
        <v>0</v>
      </c>
      <c r="K20" s="26">
        <f>0</f>
        <v>0</v>
      </c>
      <c r="L20" s="26">
        <f>0</f>
        <v>0</v>
      </c>
      <c r="M20" s="26">
        <f>0</f>
        <v>0</v>
      </c>
      <c r="N20" s="26">
        <f>0</f>
        <v>0</v>
      </c>
      <c r="O20" s="26">
        <f>0</f>
        <v>0</v>
      </c>
      <c r="P20" s="26">
        <f>0</f>
        <v>0</v>
      </c>
      <c r="Q20" s="26">
        <f>0</f>
        <v>0</v>
      </c>
    </row>
    <row r="21" spans="1:17" ht="38.25" customHeight="1">
      <c r="A21" s="19" t="s">
        <v>75</v>
      </c>
      <c r="B21" s="20">
        <f>64471206.47</f>
        <v>64471206.47</v>
      </c>
      <c r="C21" s="20">
        <f>64470185.86</f>
        <v>64470185.86</v>
      </c>
      <c r="D21" s="20">
        <f>17446517.95</f>
        <v>17446517.95</v>
      </c>
      <c r="E21" s="20">
        <f>2445858.08</f>
        <v>2445858.08</v>
      </c>
      <c r="F21" s="20">
        <f>2688498.13</f>
        <v>2688498.13</v>
      </c>
      <c r="G21" s="20">
        <f>9938956.98</f>
        <v>9938956.98</v>
      </c>
      <c r="H21" s="20">
        <f>2373204.76</f>
        <v>2373204.76</v>
      </c>
      <c r="I21" s="20">
        <f>0</f>
        <v>0</v>
      </c>
      <c r="J21" s="20">
        <f>334788.29</f>
        <v>334788.29</v>
      </c>
      <c r="K21" s="20">
        <f>2680.5</f>
        <v>2680.5</v>
      </c>
      <c r="L21" s="20">
        <f>18572807.84</f>
        <v>18572807.84</v>
      </c>
      <c r="M21" s="20">
        <f>21204329.45</f>
        <v>21204329.45</v>
      </c>
      <c r="N21" s="20">
        <f>6909061.83</f>
        <v>6909061.83</v>
      </c>
      <c r="O21" s="20">
        <f>1020.61</f>
        <v>1020.61</v>
      </c>
      <c r="P21" s="20">
        <f>0</f>
        <v>0</v>
      </c>
      <c r="Q21" s="20">
        <f>1020.61</f>
        <v>1020.61</v>
      </c>
    </row>
    <row r="22" spans="1:17" ht="33" customHeight="1">
      <c r="A22" s="16" t="s">
        <v>49</v>
      </c>
      <c r="B22" s="21">
        <f>39168116.62</f>
        <v>39168116.62</v>
      </c>
      <c r="C22" s="21">
        <f>39168116.62</f>
        <v>39168116.62</v>
      </c>
      <c r="D22" s="21">
        <f>2010356.11</f>
        <v>2010356.11</v>
      </c>
      <c r="E22" s="21">
        <f>400.88</f>
        <v>400.88</v>
      </c>
      <c r="F22" s="21">
        <f>0</f>
        <v>0</v>
      </c>
      <c r="G22" s="21">
        <f>2009955.23</f>
        <v>2009955.23</v>
      </c>
      <c r="H22" s="21">
        <f>0</f>
        <v>0</v>
      </c>
      <c r="I22" s="21">
        <f>0</f>
        <v>0</v>
      </c>
      <c r="J22" s="21">
        <f>0</f>
        <v>0</v>
      </c>
      <c r="K22" s="21">
        <f>136.5</f>
        <v>136.5</v>
      </c>
      <c r="L22" s="21">
        <f>15335484.84</f>
        <v>15335484.84</v>
      </c>
      <c r="M22" s="21">
        <f>16480272.76</f>
        <v>16480272.76</v>
      </c>
      <c r="N22" s="21">
        <f>5341866.41</f>
        <v>5341866.41</v>
      </c>
      <c r="O22" s="21">
        <f>0</f>
        <v>0</v>
      </c>
      <c r="P22" s="21">
        <f>0</f>
        <v>0</v>
      </c>
      <c r="Q22" s="21">
        <f>0</f>
        <v>0</v>
      </c>
    </row>
    <row r="23" spans="1:17" ht="23.25" customHeight="1">
      <c r="A23" s="16" t="s">
        <v>50</v>
      </c>
      <c r="B23" s="21">
        <f>25303089.85</f>
        <v>25303089.85</v>
      </c>
      <c r="C23" s="21">
        <f>25302069.24</f>
        <v>25302069.24</v>
      </c>
      <c r="D23" s="21">
        <f>15436161.84</f>
        <v>15436161.84</v>
      </c>
      <c r="E23" s="21">
        <f>2445457.2</f>
        <v>2445457.2</v>
      </c>
      <c r="F23" s="21">
        <f>2688498.13</f>
        <v>2688498.13</v>
      </c>
      <c r="G23" s="21">
        <f>7929001.75</f>
        <v>7929001.75</v>
      </c>
      <c r="H23" s="21">
        <f>2373204.76</f>
        <v>2373204.76</v>
      </c>
      <c r="I23" s="21">
        <f>0</f>
        <v>0</v>
      </c>
      <c r="J23" s="21">
        <f>334788.29</f>
        <v>334788.29</v>
      </c>
      <c r="K23" s="21">
        <f>2544</f>
        <v>2544</v>
      </c>
      <c r="L23" s="21">
        <f>3237323</f>
        <v>3237323</v>
      </c>
      <c r="M23" s="21">
        <f>4724056.69</f>
        <v>4724056.69</v>
      </c>
      <c r="N23" s="21">
        <f>1567195.42</f>
        <v>1567195.42</v>
      </c>
      <c r="O23" s="21">
        <f>1020.61</f>
        <v>1020.61</v>
      </c>
      <c r="P23" s="21">
        <f>0</f>
        <v>0</v>
      </c>
      <c r="Q23" s="21">
        <f>1020.61</f>
        <v>1020.61</v>
      </c>
    </row>
    <row r="24" spans="1:17" ht="19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9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9.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9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9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9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3" ht="45.75" customHeight="1">
      <c r="A30" s="35" t="s">
        <v>77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2" spans="1:13" ht="13.5" customHeight="1">
      <c r="A32" s="3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4" spans="1:17" ht="13.5" customHeight="1">
      <c r="A34" s="40" t="s">
        <v>0</v>
      </c>
      <c r="B34" s="37" t="s">
        <v>9</v>
      </c>
      <c r="C34" s="29" t="s">
        <v>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29" t="s">
        <v>21</v>
      </c>
      <c r="P34" s="30"/>
      <c r="Q34" s="31"/>
    </row>
    <row r="35" spans="1:17" ht="13.5" customHeight="1">
      <c r="A35" s="41"/>
      <c r="B35" s="33"/>
      <c r="C35" s="33" t="s">
        <v>10</v>
      </c>
      <c r="D35" s="28" t="s">
        <v>12</v>
      </c>
      <c r="E35" s="28" t="s">
        <v>22</v>
      </c>
      <c r="F35" s="28" t="s">
        <v>23</v>
      </c>
      <c r="G35" s="28" t="s">
        <v>68</v>
      </c>
      <c r="H35" s="28" t="s">
        <v>25</v>
      </c>
      <c r="I35" s="28" t="s">
        <v>1</v>
      </c>
      <c r="J35" s="28" t="s">
        <v>13</v>
      </c>
      <c r="K35" s="28" t="s">
        <v>14</v>
      </c>
      <c r="L35" s="28" t="s">
        <v>15</v>
      </c>
      <c r="M35" s="28" t="s">
        <v>16</v>
      </c>
      <c r="N35" s="34" t="s">
        <v>17</v>
      </c>
      <c r="O35" s="28" t="s">
        <v>18</v>
      </c>
      <c r="P35" s="28" t="s">
        <v>19</v>
      </c>
      <c r="Q35" s="37" t="s">
        <v>20</v>
      </c>
    </row>
    <row r="36" spans="1:17" ht="13.5" customHeight="1">
      <c r="A36" s="41"/>
      <c r="B36" s="33"/>
      <c r="C36" s="3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4"/>
      <c r="O36" s="28"/>
      <c r="P36" s="28"/>
      <c r="Q36" s="33"/>
    </row>
    <row r="37" spans="1:17" ht="11.25" customHeight="1">
      <c r="A37" s="41"/>
      <c r="B37" s="33"/>
      <c r="C37" s="3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34"/>
      <c r="O37" s="28"/>
      <c r="P37" s="28"/>
      <c r="Q37" s="33"/>
    </row>
    <row r="38" spans="1:17" ht="32.25" customHeight="1">
      <c r="A38" s="42"/>
      <c r="B38" s="32"/>
      <c r="C38" s="3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34"/>
      <c r="O38" s="28"/>
      <c r="P38" s="28"/>
      <c r="Q38" s="32"/>
    </row>
    <row r="39" spans="1:17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  <c r="O39" s="9">
        <v>15</v>
      </c>
      <c r="P39" s="9">
        <v>16</v>
      </c>
      <c r="Q39" s="9">
        <v>17</v>
      </c>
    </row>
    <row r="40" spans="1:17" ht="27.75" customHeight="1" hidden="1">
      <c r="A40" s="10" t="s">
        <v>26</v>
      </c>
      <c r="B40" s="11">
        <f>0</f>
        <v>0</v>
      </c>
      <c r="C40" s="11">
        <f>0</f>
        <v>0</v>
      </c>
      <c r="D40" s="11">
        <f>0</f>
        <v>0</v>
      </c>
      <c r="E40" s="11">
        <f>0</f>
        <v>0</v>
      </c>
      <c r="F40" s="11">
        <f>0</f>
        <v>0</v>
      </c>
      <c r="G40" s="11">
        <f>0</f>
        <v>0</v>
      </c>
      <c r="H40" s="11">
        <f>0</f>
        <v>0</v>
      </c>
      <c r="I40" s="11">
        <f>0</f>
        <v>0</v>
      </c>
      <c r="J40" s="11">
        <f>0</f>
        <v>0</v>
      </c>
      <c r="K40" s="11">
        <f>0</f>
        <v>0</v>
      </c>
      <c r="L40" s="11">
        <f>0</f>
        <v>0</v>
      </c>
      <c r="M40" s="11">
        <f>0</f>
        <v>0</v>
      </c>
      <c r="N40" s="11">
        <f>0</f>
        <v>0</v>
      </c>
      <c r="O40" s="11">
        <f>0</f>
        <v>0</v>
      </c>
      <c r="P40" s="11">
        <f>0</f>
        <v>0</v>
      </c>
      <c r="Q40" s="11">
        <f>0</f>
        <v>0</v>
      </c>
    </row>
    <row r="41" spans="1:17" ht="35.25" customHeight="1">
      <c r="A41" s="27" t="s">
        <v>38</v>
      </c>
      <c r="B41" s="22">
        <f>2739718.33</f>
        <v>2739718.33</v>
      </c>
      <c r="C41" s="22">
        <f>2739718.33</f>
        <v>2739718.33</v>
      </c>
      <c r="D41" s="22">
        <f>1207403.08</f>
        <v>1207403.08</v>
      </c>
      <c r="E41" s="22">
        <f>50000</f>
        <v>50000</v>
      </c>
      <c r="F41" s="22">
        <f>0</f>
        <v>0</v>
      </c>
      <c r="G41" s="22">
        <f>1157403.08</f>
        <v>1157403.08</v>
      </c>
      <c r="H41" s="22">
        <f>0</f>
        <v>0</v>
      </c>
      <c r="I41" s="22">
        <f>0</f>
        <v>0</v>
      </c>
      <c r="J41" s="22">
        <f>122784.2</f>
        <v>122784.2</v>
      </c>
      <c r="K41" s="22">
        <f>24850</f>
        <v>24850</v>
      </c>
      <c r="L41" s="22">
        <f>587611.6</f>
        <v>587611.6</v>
      </c>
      <c r="M41" s="22">
        <f>797069.45</f>
        <v>797069.45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8.5" customHeight="1">
      <c r="A42" s="17" t="s">
        <v>27</v>
      </c>
      <c r="B42" s="23">
        <f>160791.62</f>
        <v>160791.62</v>
      </c>
      <c r="C42" s="23">
        <f>160791.62</f>
        <v>160791.62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6000</f>
        <v>6000</v>
      </c>
      <c r="K42" s="23">
        <f>0</f>
        <v>0</v>
      </c>
      <c r="L42" s="23">
        <f>0</f>
        <v>0</v>
      </c>
      <c r="M42" s="23">
        <f>154791.62</f>
        <v>154791.62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8.5" customHeight="1">
      <c r="A43" s="17" t="s">
        <v>28</v>
      </c>
      <c r="B43" s="23">
        <f>2578926.71</f>
        <v>2578926.71</v>
      </c>
      <c r="C43" s="23">
        <f>2578926.71</f>
        <v>2578926.71</v>
      </c>
      <c r="D43" s="23">
        <f>1207403.08</f>
        <v>1207403.08</v>
      </c>
      <c r="E43" s="23">
        <f>50000</f>
        <v>50000</v>
      </c>
      <c r="F43" s="23">
        <f>0</f>
        <v>0</v>
      </c>
      <c r="G43" s="23">
        <f>1157403.08</f>
        <v>1157403.08</v>
      </c>
      <c r="H43" s="23">
        <f>0</f>
        <v>0</v>
      </c>
      <c r="I43" s="23">
        <f>0</f>
        <v>0</v>
      </c>
      <c r="J43" s="23">
        <f>116784.2</f>
        <v>116784.2</v>
      </c>
      <c r="K43" s="23">
        <f>24850</f>
        <v>24850</v>
      </c>
      <c r="L43" s="23">
        <f>587611.6</f>
        <v>587611.6</v>
      </c>
      <c r="M43" s="23">
        <f>642277.83</f>
        <v>642277.83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28.5" customHeight="1">
      <c r="A44" s="27" t="s">
        <v>39</v>
      </c>
      <c r="B44" s="22">
        <f>1358637013.57</f>
        <v>1358637013.57</v>
      </c>
      <c r="C44" s="22">
        <f>1358633087.92</f>
        <v>1358633087.92</v>
      </c>
      <c r="D44" s="22">
        <f>514234419.61</f>
        <v>514234419.61</v>
      </c>
      <c r="E44" s="22">
        <f>625806.88</f>
        <v>625806.88</v>
      </c>
      <c r="F44" s="22">
        <f>2854996.48</f>
        <v>2854996.48</v>
      </c>
      <c r="G44" s="22">
        <f>500953616.25</f>
        <v>500953616.25</v>
      </c>
      <c r="H44" s="22">
        <f>9800000</f>
        <v>9800000</v>
      </c>
      <c r="I44" s="22">
        <f>0</f>
        <v>0</v>
      </c>
      <c r="J44" s="22">
        <f>164591.13</f>
        <v>164591.13</v>
      </c>
      <c r="K44" s="22">
        <f>234972.09</f>
        <v>234972.09</v>
      </c>
      <c r="L44" s="22">
        <f>421402183.49</f>
        <v>421402183.49</v>
      </c>
      <c r="M44" s="22">
        <f>393503770.97</f>
        <v>393503770.97</v>
      </c>
      <c r="N44" s="22">
        <f>29093150.63</f>
        <v>29093150.63</v>
      </c>
      <c r="O44" s="22">
        <f>3925.65</f>
        <v>3925.65</v>
      </c>
      <c r="P44" s="22">
        <f>3883.66</f>
        <v>3883.66</v>
      </c>
      <c r="Q44" s="22">
        <f>41.99</f>
        <v>41.99</v>
      </c>
    </row>
    <row r="45" spans="1:17" ht="32.25" customHeight="1">
      <c r="A45" s="17" t="s">
        <v>29</v>
      </c>
      <c r="B45" s="23">
        <f>146580641.17</f>
        <v>146580641.17</v>
      </c>
      <c r="C45" s="23">
        <f>146580641.17</f>
        <v>146580641.17</v>
      </c>
      <c r="D45" s="23">
        <f>45988735.71</f>
        <v>45988735.71</v>
      </c>
      <c r="E45" s="23">
        <f>309361.5</f>
        <v>309361.5</v>
      </c>
      <c r="F45" s="23">
        <f>0</f>
        <v>0</v>
      </c>
      <c r="G45" s="23">
        <f>35879374.21</f>
        <v>35879374.21</v>
      </c>
      <c r="H45" s="23">
        <f>9800000</f>
        <v>9800000</v>
      </c>
      <c r="I45" s="23">
        <f>0</f>
        <v>0</v>
      </c>
      <c r="J45" s="23">
        <f>12339</f>
        <v>12339</v>
      </c>
      <c r="K45" s="23">
        <f>101628.47</f>
        <v>101628.47</v>
      </c>
      <c r="L45" s="23">
        <f>43594801.19</f>
        <v>43594801.19</v>
      </c>
      <c r="M45" s="23">
        <f>49346014.7</f>
        <v>49346014.7</v>
      </c>
      <c r="N45" s="23">
        <f>7537122.1</f>
        <v>7537122.1</v>
      </c>
      <c r="O45" s="23">
        <f>0</f>
        <v>0</v>
      </c>
      <c r="P45" s="23">
        <f>0</f>
        <v>0</v>
      </c>
      <c r="Q45" s="23">
        <f>0</f>
        <v>0</v>
      </c>
    </row>
    <row r="46" spans="1:17" ht="32.25" customHeight="1">
      <c r="A46" s="17" t="s">
        <v>30</v>
      </c>
      <c r="B46" s="23">
        <f>1212056372.4</f>
        <v>1212056372.4</v>
      </c>
      <c r="C46" s="23">
        <f>1212052446.75</f>
        <v>1212052446.75</v>
      </c>
      <c r="D46" s="23">
        <f>468245683.9</f>
        <v>468245683.9</v>
      </c>
      <c r="E46" s="23">
        <f>316445.38</f>
        <v>316445.38</v>
      </c>
      <c r="F46" s="23">
        <f>2854996.48</f>
        <v>2854996.48</v>
      </c>
      <c r="G46" s="23">
        <f>465074242.04</f>
        <v>465074242.04</v>
      </c>
      <c r="H46" s="23">
        <f>0</f>
        <v>0</v>
      </c>
      <c r="I46" s="23">
        <f>0</f>
        <v>0</v>
      </c>
      <c r="J46" s="23">
        <f>152252.13</f>
        <v>152252.13</v>
      </c>
      <c r="K46" s="23">
        <f>133343.62</f>
        <v>133343.62</v>
      </c>
      <c r="L46" s="23">
        <f>377807382.3</f>
        <v>377807382.3</v>
      </c>
      <c r="M46" s="23">
        <f>344157756.27</f>
        <v>344157756.27</v>
      </c>
      <c r="N46" s="23">
        <f>21556028.53</f>
        <v>21556028.53</v>
      </c>
      <c r="O46" s="23">
        <f>3925.65</f>
        <v>3925.65</v>
      </c>
      <c r="P46" s="23">
        <f>3883.66</f>
        <v>3883.66</v>
      </c>
      <c r="Q46" s="23">
        <f>41.99</f>
        <v>41.99</v>
      </c>
    </row>
    <row r="47" spans="1:17" ht="35.25" customHeight="1">
      <c r="A47" s="27" t="s">
        <v>40</v>
      </c>
      <c r="B47" s="22">
        <f>48861456534.8</f>
        <v>48861456534.8</v>
      </c>
      <c r="C47" s="22">
        <f>48861202987.09</f>
        <v>48861202987.09</v>
      </c>
      <c r="D47" s="22">
        <f>43251267.44</f>
        <v>43251267.44</v>
      </c>
      <c r="E47" s="22">
        <f>15293069.34</f>
        <v>15293069.34</v>
      </c>
      <c r="F47" s="22">
        <f>42464.39</f>
        <v>42464.39</v>
      </c>
      <c r="G47" s="22">
        <f>27915733.71</f>
        <v>27915733.71</v>
      </c>
      <c r="H47" s="22">
        <f>0</f>
        <v>0</v>
      </c>
      <c r="I47" s="22">
        <f>31004832.6</f>
        <v>31004832.6</v>
      </c>
      <c r="J47" s="22">
        <f>48780478450.2</f>
        <v>48780478450.2</v>
      </c>
      <c r="K47" s="22">
        <f>59397.77</f>
        <v>59397.77</v>
      </c>
      <c r="L47" s="22">
        <f>6019901.65</f>
        <v>6019901.65</v>
      </c>
      <c r="M47" s="22">
        <f>136333.05</f>
        <v>136333.05</v>
      </c>
      <c r="N47" s="22">
        <f>252804.38</f>
        <v>252804.38</v>
      </c>
      <c r="O47" s="22">
        <f>253547.71</f>
        <v>253547.71</v>
      </c>
      <c r="P47" s="22">
        <f>253547.71</f>
        <v>253547.71</v>
      </c>
      <c r="Q47" s="22">
        <f>0</f>
        <v>0</v>
      </c>
    </row>
    <row r="48" spans="1:17" ht="28.5" customHeight="1">
      <c r="A48" s="17" t="s">
        <v>31</v>
      </c>
      <c r="B48" s="23">
        <f>16905039.67</f>
        <v>16905039.67</v>
      </c>
      <c r="C48" s="23">
        <f>16905039.67</f>
        <v>16905039.67</v>
      </c>
      <c r="D48" s="23">
        <f>16904039.67</f>
        <v>16904039.67</v>
      </c>
      <c r="E48" s="23">
        <f>0</f>
        <v>0</v>
      </c>
      <c r="F48" s="23">
        <f>0</f>
        <v>0</v>
      </c>
      <c r="G48" s="23">
        <f>16904039.67</f>
        <v>16904039.67</v>
      </c>
      <c r="H48" s="23">
        <f>0</f>
        <v>0</v>
      </c>
      <c r="I48" s="23">
        <f>0</f>
        <v>0</v>
      </c>
      <c r="J48" s="23">
        <f>1000</f>
        <v>1000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8.5" customHeight="1">
      <c r="A49" s="17" t="s">
        <v>32</v>
      </c>
      <c r="B49" s="23">
        <f>44411678973.68</f>
        <v>44411678973.68</v>
      </c>
      <c r="C49" s="23">
        <f>44411678973.68</f>
        <v>44411678973.68</v>
      </c>
      <c r="D49" s="23">
        <f>26014414.45</f>
        <v>26014414.45</v>
      </c>
      <c r="E49" s="23">
        <f>15195419</f>
        <v>15195419</v>
      </c>
      <c r="F49" s="23">
        <f>7678.81</f>
        <v>7678.81</v>
      </c>
      <c r="G49" s="23">
        <f>10811316.64</f>
        <v>10811316.64</v>
      </c>
      <c r="H49" s="23">
        <f>0</f>
        <v>0</v>
      </c>
      <c r="I49" s="23">
        <f>30952416.6</f>
        <v>30952416.6</v>
      </c>
      <c r="J49" s="23">
        <f>44349827234.34</f>
        <v>44349827234.34</v>
      </c>
      <c r="K49" s="23">
        <f>47446.75</f>
        <v>47446.75</v>
      </c>
      <c r="L49" s="23">
        <f>4730243.78</f>
        <v>4730243.78</v>
      </c>
      <c r="M49" s="23">
        <f>12934.64</f>
        <v>12934.64</v>
      </c>
      <c r="N49" s="23">
        <f>94283.12</f>
        <v>94283.12</v>
      </c>
      <c r="O49" s="23">
        <f>0</f>
        <v>0</v>
      </c>
      <c r="P49" s="23">
        <f>0</f>
        <v>0</v>
      </c>
      <c r="Q49" s="23">
        <f>0</f>
        <v>0</v>
      </c>
    </row>
    <row r="50" spans="1:17" ht="28.5" customHeight="1">
      <c r="A50" s="17" t="s">
        <v>33</v>
      </c>
      <c r="B50" s="23">
        <f>4432872521.45</f>
        <v>4432872521.45</v>
      </c>
      <c r="C50" s="23">
        <f>4432618973.74</f>
        <v>4432618973.74</v>
      </c>
      <c r="D50" s="23">
        <f>332813.32</f>
        <v>332813.32</v>
      </c>
      <c r="E50" s="23">
        <f>97650.34</f>
        <v>97650.34</v>
      </c>
      <c r="F50" s="23">
        <f>34785.58</f>
        <v>34785.58</v>
      </c>
      <c r="G50" s="23">
        <f>200377.4</f>
        <v>200377.4</v>
      </c>
      <c r="H50" s="23">
        <f>0</f>
        <v>0</v>
      </c>
      <c r="I50" s="23">
        <f>52416</f>
        <v>52416</v>
      </c>
      <c r="J50" s="23">
        <f>4430650215.86</f>
        <v>4430650215.86</v>
      </c>
      <c r="K50" s="23">
        <f>11951.02</f>
        <v>11951.02</v>
      </c>
      <c r="L50" s="23">
        <f>1289657.87</f>
        <v>1289657.87</v>
      </c>
      <c r="M50" s="23">
        <f>123398.41</f>
        <v>123398.41</v>
      </c>
      <c r="N50" s="23">
        <f>158521.26</f>
        <v>158521.26</v>
      </c>
      <c r="O50" s="23">
        <f>253547.71</f>
        <v>253547.71</v>
      </c>
      <c r="P50" s="23">
        <f>253547.71</f>
        <v>253547.71</v>
      </c>
      <c r="Q50" s="23">
        <f>0</f>
        <v>0</v>
      </c>
    </row>
    <row r="51" spans="1:17" ht="35.25" customHeight="1">
      <c r="A51" s="27" t="s">
        <v>41</v>
      </c>
      <c r="B51" s="22">
        <f>24135496492.18</f>
        <v>24135496492.18</v>
      </c>
      <c r="C51" s="22">
        <f>24087431282.43</f>
        <v>24087431282.43</v>
      </c>
      <c r="D51" s="22">
        <f>510116362.48</f>
        <v>510116362.48</v>
      </c>
      <c r="E51" s="22">
        <f>180737406.6</f>
        <v>180737406.6</v>
      </c>
      <c r="F51" s="22">
        <f>17327084.3</f>
        <v>17327084.3</v>
      </c>
      <c r="G51" s="22">
        <f>308533258</f>
        <v>308533258</v>
      </c>
      <c r="H51" s="22">
        <f>3518613.58</f>
        <v>3518613.58</v>
      </c>
      <c r="I51" s="22">
        <f>89</f>
        <v>89</v>
      </c>
      <c r="J51" s="22">
        <f>7610641.87</f>
        <v>7610641.87</v>
      </c>
      <c r="K51" s="22">
        <f>36495286.85</f>
        <v>36495286.85</v>
      </c>
      <c r="L51" s="22">
        <f>6372493448.87</f>
        <v>6372493448.87</v>
      </c>
      <c r="M51" s="22">
        <f>16977218588.72</f>
        <v>16977218588.72</v>
      </c>
      <c r="N51" s="22">
        <f>183496864.64</f>
        <v>183496864.64</v>
      </c>
      <c r="O51" s="22">
        <f>48065209.75</f>
        <v>48065209.75</v>
      </c>
      <c r="P51" s="22">
        <f>29786124.1</f>
        <v>29786124.1</v>
      </c>
      <c r="Q51" s="22">
        <f>18279085.65</f>
        <v>18279085.65</v>
      </c>
    </row>
    <row r="52" spans="1:17" ht="28.5" customHeight="1">
      <c r="A52" s="17" t="s">
        <v>34</v>
      </c>
      <c r="B52" s="23">
        <f>6987092569.58</f>
        <v>6987092569.58</v>
      </c>
      <c r="C52" s="23">
        <f>6985417986.6</f>
        <v>6985417986.6</v>
      </c>
      <c r="D52" s="23">
        <f>80280800.51</f>
        <v>80280800.51</v>
      </c>
      <c r="E52" s="23">
        <f>2872208.24</f>
        <v>2872208.24</v>
      </c>
      <c r="F52" s="23">
        <f>1505945.4</f>
        <v>1505945.4</v>
      </c>
      <c r="G52" s="23">
        <f>75246891.69</f>
        <v>75246891.69</v>
      </c>
      <c r="H52" s="23">
        <f>655755.18</f>
        <v>655755.18</v>
      </c>
      <c r="I52" s="23">
        <f>0</f>
        <v>0</v>
      </c>
      <c r="J52" s="23">
        <f>897428.82</f>
        <v>897428.82</v>
      </c>
      <c r="K52" s="23">
        <f>1376510.77</f>
        <v>1376510.77</v>
      </c>
      <c r="L52" s="23">
        <f>1110016799.1</f>
        <v>1110016799.1</v>
      </c>
      <c r="M52" s="23">
        <f>5752195971.02</f>
        <v>5752195971.02</v>
      </c>
      <c r="N52" s="23">
        <f>40650476.38</f>
        <v>40650476.38</v>
      </c>
      <c r="O52" s="23">
        <f>1674582.98</f>
        <v>1674582.98</v>
      </c>
      <c r="P52" s="23">
        <f>536980.04</f>
        <v>536980.04</v>
      </c>
      <c r="Q52" s="23">
        <f>1137602.94</f>
        <v>1137602.94</v>
      </c>
    </row>
    <row r="53" spans="1:17" ht="28.5" customHeight="1">
      <c r="A53" s="17" t="s">
        <v>35</v>
      </c>
      <c r="B53" s="23">
        <f>17148403922.6</f>
        <v>17148403922.6</v>
      </c>
      <c r="C53" s="23">
        <f>17102013295.83</f>
        <v>17102013295.83</v>
      </c>
      <c r="D53" s="23">
        <f>429835561.97</f>
        <v>429835561.97</v>
      </c>
      <c r="E53" s="23">
        <f>177865198.36</f>
        <v>177865198.36</v>
      </c>
      <c r="F53" s="23">
        <f>15821138.9</f>
        <v>15821138.9</v>
      </c>
      <c r="G53" s="23">
        <f>233286366.31</f>
        <v>233286366.31</v>
      </c>
      <c r="H53" s="23">
        <f>2862858.4</f>
        <v>2862858.4</v>
      </c>
      <c r="I53" s="23">
        <f>89</f>
        <v>89</v>
      </c>
      <c r="J53" s="23">
        <f>6713213.05</f>
        <v>6713213.05</v>
      </c>
      <c r="K53" s="23">
        <f>35118776.08</f>
        <v>35118776.08</v>
      </c>
      <c r="L53" s="23">
        <f>5262476649.77</f>
        <v>5262476649.77</v>
      </c>
      <c r="M53" s="23">
        <f>11225022617.7</f>
        <v>11225022617.7</v>
      </c>
      <c r="N53" s="23">
        <f>142846388.26</f>
        <v>142846388.26</v>
      </c>
      <c r="O53" s="23">
        <f>46390626.77</f>
        <v>46390626.77</v>
      </c>
      <c r="P53" s="23">
        <f>29249144.06</f>
        <v>29249144.06</v>
      </c>
      <c r="Q53" s="23">
        <f>17141482.71</f>
        <v>17141482.71</v>
      </c>
    </row>
    <row r="54" spans="1:17" ht="35.25" customHeight="1">
      <c r="A54" s="27" t="s">
        <v>42</v>
      </c>
      <c r="B54" s="22">
        <f>31166333926.82</f>
        <v>31166333926.82</v>
      </c>
      <c r="C54" s="22">
        <f>31074665063.98</f>
        <v>31074665063.98</v>
      </c>
      <c r="D54" s="22">
        <f>2876644598.53</f>
        <v>2876644598.53</v>
      </c>
      <c r="E54" s="22">
        <f>1630274630.23</f>
        <v>1630274630.23</v>
      </c>
      <c r="F54" s="22">
        <f>137545851.02</f>
        <v>137545851.02</v>
      </c>
      <c r="G54" s="22">
        <f>1070218602.4</f>
        <v>1070218602.4</v>
      </c>
      <c r="H54" s="22">
        <f>38605514.88</f>
        <v>38605514.88</v>
      </c>
      <c r="I54" s="22">
        <f>3467644.92</f>
        <v>3467644.92</v>
      </c>
      <c r="J54" s="22">
        <f>34618832.32</f>
        <v>34618832.32</v>
      </c>
      <c r="K54" s="22">
        <f>103226924.6</f>
        <v>103226924.6</v>
      </c>
      <c r="L54" s="22">
        <f>17386269713.28</f>
        <v>17386269713.28</v>
      </c>
      <c r="M54" s="22">
        <f>10280315165.24</f>
        <v>10280315165.24</v>
      </c>
      <c r="N54" s="22">
        <f>390122185.09</f>
        <v>390122185.09</v>
      </c>
      <c r="O54" s="22">
        <f>91668862.84</f>
        <v>91668862.84</v>
      </c>
      <c r="P54" s="22">
        <f>45031225.09</f>
        <v>45031225.09</v>
      </c>
      <c r="Q54" s="22">
        <f>46637637.75</f>
        <v>46637637.75</v>
      </c>
    </row>
    <row r="55" spans="1:17" ht="28.5" customHeight="1">
      <c r="A55" s="17" t="s">
        <v>36</v>
      </c>
      <c r="B55" s="23">
        <f>1926425884.81</f>
        <v>1926425884.81</v>
      </c>
      <c r="C55" s="23">
        <f>1881303712.48</f>
        <v>1881303712.48</v>
      </c>
      <c r="D55" s="23">
        <f>123020621.22</f>
        <v>123020621.22</v>
      </c>
      <c r="E55" s="23">
        <f>5301689.45</f>
        <v>5301689.45</v>
      </c>
      <c r="F55" s="23">
        <f>5105365.23</f>
        <v>5105365.23</v>
      </c>
      <c r="G55" s="23">
        <f>107290982.46</f>
        <v>107290982.46</v>
      </c>
      <c r="H55" s="23">
        <f>5322584.08</f>
        <v>5322584.08</v>
      </c>
      <c r="I55" s="23">
        <f>25583.58</f>
        <v>25583.58</v>
      </c>
      <c r="J55" s="23">
        <f>1389946.76</f>
        <v>1389946.76</v>
      </c>
      <c r="K55" s="23">
        <f>2409565.06</f>
        <v>2409565.06</v>
      </c>
      <c r="L55" s="23">
        <f>717336625.38</f>
        <v>717336625.38</v>
      </c>
      <c r="M55" s="23">
        <f>935678364.86</f>
        <v>935678364.86</v>
      </c>
      <c r="N55" s="23">
        <f>101443005.62</f>
        <v>101443005.62</v>
      </c>
      <c r="O55" s="23">
        <f>45122172.33</f>
        <v>45122172.33</v>
      </c>
      <c r="P55" s="23">
        <f>249025.74</f>
        <v>249025.74</v>
      </c>
      <c r="Q55" s="23">
        <f>44873146.59</f>
        <v>44873146.59</v>
      </c>
    </row>
    <row r="56" spans="1:17" ht="47.25" customHeight="1">
      <c r="A56" s="17" t="s">
        <v>76</v>
      </c>
      <c r="B56" s="23">
        <f>19089239013.1</f>
        <v>19089239013.1</v>
      </c>
      <c r="C56" s="23">
        <f>19072850217.26</f>
        <v>19072850217.26</v>
      </c>
      <c r="D56" s="23">
        <f>1544428787.54</f>
        <v>1544428787.54</v>
      </c>
      <c r="E56" s="23">
        <f>1040398584.62</f>
        <v>1040398584.62</v>
      </c>
      <c r="F56" s="23">
        <f>91703900.48</f>
        <v>91703900.48</v>
      </c>
      <c r="G56" s="23">
        <f>392737077.01</f>
        <v>392737077.01</v>
      </c>
      <c r="H56" s="23">
        <f>19589225.43</f>
        <v>19589225.43</v>
      </c>
      <c r="I56" s="23">
        <f>3390312.7</f>
        <v>3390312.7</v>
      </c>
      <c r="J56" s="23">
        <f>29319323.79</f>
        <v>29319323.79</v>
      </c>
      <c r="K56" s="23">
        <f>68738998.64</f>
        <v>68738998.64</v>
      </c>
      <c r="L56" s="23">
        <f>12607601792.93</f>
        <v>12607601792.93</v>
      </c>
      <c r="M56" s="23">
        <f>4732500059.71</f>
        <v>4732500059.71</v>
      </c>
      <c r="N56" s="23">
        <f>86870941.95</f>
        <v>86870941.95</v>
      </c>
      <c r="O56" s="23">
        <f>16388795.84</f>
        <v>16388795.84</v>
      </c>
      <c r="P56" s="23">
        <f>15896738.59</f>
        <v>15896738.59</v>
      </c>
      <c r="Q56" s="23">
        <f>492057.25</f>
        <v>492057.25</v>
      </c>
    </row>
    <row r="57" spans="1:17" ht="35.25" customHeight="1">
      <c r="A57" s="17" t="s">
        <v>37</v>
      </c>
      <c r="B57" s="23">
        <f>10150669028.91</f>
        <v>10150669028.91</v>
      </c>
      <c r="C57" s="23">
        <f>10120511134.24</f>
        <v>10120511134.24</v>
      </c>
      <c r="D57" s="23">
        <f>1209195189.77</f>
        <v>1209195189.77</v>
      </c>
      <c r="E57" s="23">
        <f>584574356.16</f>
        <v>584574356.16</v>
      </c>
      <c r="F57" s="23">
        <f>40736585.31</f>
        <v>40736585.31</v>
      </c>
      <c r="G57" s="23">
        <f>570190542.93</f>
        <v>570190542.93</v>
      </c>
      <c r="H57" s="23">
        <f>13693705.37</f>
        <v>13693705.37</v>
      </c>
      <c r="I57" s="23">
        <f>51748.64</f>
        <v>51748.64</v>
      </c>
      <c r="J57" s="23">
        <f>3909561.77</f>
        <v>3909561.77</v>
      </c>
      <c r="K57" s="23">
        <f>32078360.9</f>
        <v>32078360.9</v>
      </c>
      <c r="L57" s="23">
        <f>4061331294.97</f>
        <v>4061331294.97</v>
      </c>
      <c r="M57" s="23">
        <f>4612136740.67</f>
        <v>4612136740.67</v>
      </c>
      <c r="N57" s="23">
        <f>201808237.52</f>
        <v>201808237.52</v>
      </c>
      <c r="O57" s="23">
        <f>30157894.67</f>
        <v>30157894.67</v>
      </c>
      <c r="P57" s="23">
        <f>28885460.76</f>
        <v>28885460.76</v>
      </c>
      <c r="Q57" s="23">
        <f>1272433.91</f>
        <v>1272433.91</v>
      </c>
    </row>
    <row r="68" spans="1:13" ht="75" customHeight="1">
      <c r="A68" s="35" t="s">
        <v>77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3.5" customHeight="1">
      <c r="B70" s="36" t="s">
        <v>2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</row>
    <row r="72" spans="2:12" ht="13.5" customHeight="1">
      <c r="B72" s="65" t="s">
        <v>0</v>
      </c>
      <c r="C72" s="66"/>
      <c r="D72" s="66"/>
      <c r="E72" s="67"/>
      <c r="F72" s="53" t="s">
        <v>66</v>
      </c>
      <c r="G72" s="44" t="s">
        <v>72</v>
      </c>
      <c r="H72" s="45"/>
      <c r="I72" s="45"/>
      <c r="J72" s="45"/>
      <c r="K72" s="45"/>
      <c r="L72" s="46"/>
    </row>
    <row r="73" spans="2:12" ht="13.5" customHeight="1">
      <c r="B73" s="68"/>
      <c r="C73" s="69"/>
      <c r="D73" s="69"/>
      <c r="E73" s="70"/>
      <c r="F73" s="38"/>
      <c r="G73" s="28" t="s">
        <v>67</v>
      </c>
      <c r="H73" s="28" t="s">
        <v>64</v>
      </c>
      <c r="I73" s="28" t="s">
        <v>65</v>
      </c>
      <c r="J73" s="28" t="s">
        <v>68</v>
      </c>
      <c r="K73" s="28" t="s">
        <v>69</v>
      </c>
      <c r="L73" s="34" t="s">
        <v>70</v>
      </c>
    </row>
    <row r="74" spans="2:12" ht="13.5" customHeight="1">
      <c r="B74" s="68"/>
      <c r="C74" s="69"/>
      <c r="D74" s="69"/>
      <c r="E74" s="70"/>
      <c r="F74" s="38"/>
      <c r="G74" s="28"/>
      <c r="H74" s="28"/>
      <c r="I74" s="28"/>
      <c r="J74" s="28"/>
      <c r="K74" s="28"/>
      <c r="L74" s="34"/>
    </row>
    <row r="75" spans="2:12" ht="11.25" customHeight="1">
      <c r="B75" s="68"/>
      <c r="C75" s="69"/>
      <c r="D75" s="69"/>
      <c r="E75" s="70"/>
      <c r="F75" s="38"/>
      <c r="G75" s="28"/>
      <c r="H75" s="28"/>
      <c r="I75" s="28"/>
      <c r="J75" s="28"/>
      <c r="K75" s="28"/>
      <c r="L75" s="34"/>
    </row>
    <row r="76" spans="2:12" ht="20.25" customHeight="1">
      <c r="B76" s="71"/>
      <c r="C76" s="72"/>
      <c r="D76" s="72"/>
      <c r="E76" s="73"/>
      <c r="F76" s="39"/>
      <c r="G76" s="28"/>
      <c r="H76" s="28"/>
      <c r="I76" s="28"/>
      <c r="J76" s="28"/>
      <c r="K76" s="28"/>
      <c r="L76" s="34"/>
    </row>
    <row r="77" spans="2:12" ht="13.5" customHeight="1">
      <c r="B77" s="28">
        <v>1</v>
      </c>
      <c r="C77" s="28"/>
      <c r="D77" s="28"/>
      <c r="E77" s="28"/>
      <c r="F77" s="14">
        <v>2</v>
      </c>
      <c r="G77" s="14">
        <v>3</v>
      </c>
      <c r="H77" s="14">
        <v>4</v>
      </c>
      <c r="I77" s="14">
        <v>5</v>
      </c>
      <c r="J77" s="14">
        <v>6</v>
      </c>
      <c r="K77" s="14">
        <v>7</v>
      </c>
      <c r="L77" s="14">
        <v>8</v>
      </c>
    </row>
    <row r="78" spans="2:12" ht="33.75" customHeight="1">
      <c r="B78" s="50" t="s">
        <v>51</v>
      </c>
      <c r="C78" s="51"/>
      <c r="D78" s="51"/>
      <c r="E78" s="52"/>
      <c r="F78" s="21">
        <f>4822977715.07</f>
        <v>4822977715.07</v>
      </c>
      <c r="G78" s="21">
        <f>1207371390.07</f>
        <v>1207371390.07</v>
      </c>
      <c r="H78" s="21">
        <f>61369507.21</f>
        <v>61369507.21</v>
      </c>
      <c r="I78" s="21">
        <f>322502679.2</f>
        <v>322502679.2</v>
      </c>
      <c r="J78" s="21">
        <f>813622940.34</f>
        <v>813622940.34</v>
      </c>
      <c r="K78" s="21">
        <f>9876263.32</f>
        <v>9876263.32</v>
      </c>
      <c r="L78" s="21">
        <f>3615606325</f>
        <v>3615606325</v>
      </c>
    </row>
    <row r="79" spans="2:12" ht="33.75" customHeight="1">
      <c r="B79" s="47" t="s">
        <v>52</v>
      </c>
      <c r="C79" s="48"/>
      <c r="D79" s="48"/>
      <c r="E79" s="49"/>
      <c r="F79" s="24">
        <f>2121080.24</f>
        <v>2121080.24</v>
      </c>
      <c r="G79" s="24">
        <f>1170883</f>
        <v>1170883</v>
      </c>
      <c r="H79" s="24">
        <f>0</f>
        <v>0</v>
      </c>
      <c r="I79" s="24">
        <f>0</f>
        <v>0</v>
      </c>
      <c r="J79" s="24">
        <f>1170883</f>
        <v>1170883</v>
      </c>
      <c r="K79" s="24">
        <f>0</f>
        <v>0</v>
      </c>
      <c r="L79" s="24">
        <f>950197.24</f>
        <v>950197.24</v>
      </c>
    </row>
    <row r="80" spans="2:12" ht="33.75" customHeight="1">
      <c r="B80" s="47" t="s">
        <v>53</v>
      </c>
      <c r="C80" s="48"/>
      <c r="D80" s="48"/>
      <c r="E80" s="49"/>
      <c r="F80" s="24">
        <f>69453254.71</f>
        <v>69453254.71</v>
      </c>
      <c r="G80" s="24">
        <f>14498068.52</f>
        <v>14498068.52</v>
      </c>
      <c r="H80" s="24">
        <f>0</f>
        <v>0</v>
      </c>
      <c r="I80" s="24">
        <f>2528997</f>
        <v>2528997</v>
      </c>
      <c r="J80" s="24">
        <f>11921941.52</f>
        <v>11921941.52</v>
      </c>
      <c r="K80" s="24">
        <f>47130</f>
        <v>47130</v>
      </c>
      <c r="L80" s="24">
        <f>54955186.19</f>
        <v>54955186.19</v>
      </c>
    </row>
    <row r="81" spans="2:12" ht="22.5" customHeight="1">
      <c r="B81" s="47" t="s">
        <v>54</v>
      </c>
      <c r="C81" s="48"/>
      <c r="D81" s="48"/>
      <c r="E81" s="49"/>
      <c r="F81" s="24">
        <f>74380389.63</f>
        <v>74380389.63</v>
      </c>
      <c r="G81" s="24">
        <f>38525306.74</f>
        <v>38525306.74</v>
      </c>
      <c r="H81" s="24">
        <f>0</f>
        <v>0</v>
      </c>
      <c r="I81" s="24">
        <f>2015231.17</f>
        <v>2015231.17</v>
      </c>
      <c r="J81" s="24">
        <f>36510075.57</f>
        <v>36510075.57</v>
      </c>
      <c r="K81" s="24">
        <f>0</f>
        <v>0</v>
      </c>
      <c r="L81" s="24">
        <f>35855082.89</f>
        <v>35855082.89</v>
      </c>
    </row>
    <row r="82" spans="2:12" ht="33.75" customHeight="1">
      <c r="B82" s="47" t="s">
        <v>55</v>
      </c>
      <c r="C82" s="48"/>
      <c r="D82" s="48"/>
      <c r="E82" s="49"/>
      <c r="F82" s="24">
        <f>11832919.26</f>
        <v>11832919.26</v>
      </c>
      <c r="G82" s="24">
        <f>10817346.72</f>
        <v>10817346.72</v>
      </c>
      <c r="H82" s="24">
        <f>0</f>
        <v>0</v>
      </c>
      <c r="I82" s="24">
        <f>0</f>
        <v>0</v>
      </c>
      <c r="J82" s="24">
        <f>10817346.72</f>
        <v>10817346.72</v>
      </c>
      <c r="K82" s="24">
        <f>0</f>
        <v>0</v>
      </c>
      <c r="L82" s="24">
        <f>1015572.54</f>
        <v>1015572.54</v>
      </c>
    </row>
    <row r="83" spans="2:12" ht="33.75" customHeight="1">
      <c r="B83" s="47" t="s">
        <v>56</v>
      </c>
      <c r="C83" s="48"/>
      <c r="D83" s="48"/>
      <c r="E83" s="49"/>
      <c r="F83" s="24">
        <f>6422671.15</f>
        <v>6422671.15</v>
      </c>
      <c r="G83" s="24">
        <f>4228330.45</f>
        <v>4228330.45</v>
      </c>
      <c r="H83" s="24">
        <f>0</f>
        <v>0</v>
      </c>
      <c r="I83" s="24">
        <f>0</f>
        <v>0</v>
      </c>
      <c r="J83" s="24">
        <f>4228330.45</f>
        <v>4228330.45</v>
      </c>
      <c r="K83" s="24">
        <f>0</f>
        <v>0</v>
      </c>
      <c r="L83" s="24">
        <f>2194340.7</f>
        <v>2194340.7</v>
      </c>
    </row>
    <row r="84" spans="2:12" ht="33" customHeight="1">
      <c r="B84" s="50" t="s">
        <v>57</v>
      </c>
      <c r="C84" s="51"/>
      <c r="D84" s="51"/>
      <c r="E84" s="52"/>
      <c r="F84" s="21">
        <f>418443.94</f>
        <v>418443.94</v>
      </c>
      <c r="G84" s="21">
        <f>364388.46</f>
        <v>364388.46</v>
      </c>
      <c r="H84" s="21">
        <f>0</f>
        <v>0</v>
      </c>
      <c r="I84" s="21">
        <f>0</f>
        <v>0</v>
      </c>
      <c r="J84" s="21">
        <f>364388.46</f>
        <v>364388.46</v>
      </c>
      <c r="K84" s="21">
        <f>0</f>
        <v>0</v>
      </c>
      <c r="L84" s="21">
        <f>54055.48</f>
        <v>54055.48</v>
      </c>
    </row>
    <row r="87" spans="1:13" ht="75" customHeight="1">
      <c r="A87" s="35" t="s">
        <v>77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ht="13.5" customHeight="1">
      <c r="B88" s="3"/>
    </row>
    <row r="89" spans="2:11" ht="13.5" customHeight="1">
      <c r="B89" s="4"/>
      <c r="C89" s="58"/>
      <c r="D89" s="59"/>
      <c r="E89" s="59"/>
      <c r="F89" s="60"/>
      <c r="G89" s="58" t="s">
        <v>3</v>
      </c>
      <c r="H89" s="60"/>
      <c r="I89" s="58" t="s">
        <v>4</v>
      </c>
      <c r="J89" s="60"/>
      <c r="K89" s="4"/>
    </row>
    <row r="90" spans="2:11" ht="13.5" customHeight="1">
      <c r="B90" s="5"/>
      <c r="C90" s="50" t="s">
        <v>5</v>
      </c>
      <c r="D90" s="51"/>
      <c r="E90" s="51"/>
      <c r="F90" s="52"/>
      <c r="G90" s="54">
        <f>2718</f>
        <v>2718</v>
      </c>
      <c r="H90" s="55"/>
      <c r="I90" s="56">
        <f>14816554979.6</f>
        <v>14816554979.6</v>
      </c>
      <c r="J90" s="57"/>
      <c r="K90" s="6"/>
    </row>
    <row r="91" spans="2:11" ht="13.5" customHeight="1">
      <c r="B91" s="5"/>
      <c r="C91" s="47" t="s">
        <v>6</v>
      </c>
      <c r="D91" s="48"/>
      <c r="E91" s="48"/>
      <c r="F91" s="49"/>
      <c r="G91" s="61">
        <f>89</f>
        <v>89</v>
      </c>
      <c r="H91" s="62"/>
      <c r="I91" s="63">
        <f>-98418078.94</f>
        <v>-98418078.94</v>
      </c>
      <c r="J91" s="64"/>
      <c r="K91" s="6"/>
    </row>
    <row r="92" spans="2:11" ht="13.5" customHeight="1">
      <c r="B92" s="5"/>
      <c r="C92" s="50" t="s">
        <v>7</v>
      </c>
      <c r="D92" s="51"/>
      <c r="E92" s="51"/>
      <c r="F92" s="52"/>
      <c r="G92" s="54">
        <f>0</f>
        <v>0</v>
      </c>
      <c r="H92" s="55"/>
      <c r="I92" s="56">
        <f>0</f>
        <v>0</v>
      </c>
      <c r="J92" s="57"/>
      <c r="K92" s="6"/>
    </row>
  </sheetData>
  <sheetProtection/>
  <mergeCells count="75">
    <mergeCell ref="O6:Q6"/>
    <mergeCell ref="O7:O11"/>
    <mergeCell ref="A68:M68"/>
    <mergeCell ref="L35:L38"/>
    <mergeCell ref="P35:P38"/>
    <mergeCell ref="Q35:Q38"/>
    <mergeCell ref="N35:N38"/>
    <mergeCell ref="O35:O38"/>
    <mergeCell ref="D35:D38"/>
    <mergeCell ref="H7:H11"/>
    <mergeCell ref="B83:E83"/>
    <mergeCell ref="I90:J90"/>
    <mergeCell ref="B70:M70"/>
    <mergeCell ref="I89:J89"/>
    <mergeCell ref="B77:E77"/>
    <mergeCell ref="B72:E76"/>
    <mergeCell ref="B84:E84"/>
    <mergeCell ref="A87:M87"/>
    <mergeCell ref="B80:E80"/>
    <mergeCell ref="B81:E81"/>
    <mergeCell ref="G92:H92"/>
    <mergeCell ref="I92:J92"/>
    <mergeCell ref="C89:F89"/>
    <mergeCell ref="C90:F90"/>
    <mergeCell ref="C91:F91"/>
    <mergeCell ref="C92:F92"/>
    <mergeCell ref="G90:H90"/>
    <mergeCell ref="G89:H89"/>
    <mergeCell ref="G91:H91"/>
    <mergeCell ref="I91:J91"/>
    <mergeCell ref="B82:E82"/>
    <mergeCell ref="B79:E79"/>
    <mergeCell ref="M35:M38"/>
    <mergeCell ref="B78:E78"/>
    <mergeCell ref="F72:F76"/>
    <mergeCell ref="G73:G76"/>
    <mergeCell ref="G72:L72"/>
    <mergeCell ref="H73:H76"/>
    <mergeCell ref="I73:I76"/>
    <mergeCell ref="J73:J76"/>
    <mergeCell ref="A1:M1"/>
    <mergeCell ref="C5:M5"/>
    <mergeCell ref="A3:M3"/>
    <mergeCell ref="K7:K11"/>
    <mergeCell ref="C7:C11"/>
    <mergeCell ref="B6:B11"/>
    <mergeCell ref="A6:A11"/>
    <mergeCell ref="C6:N6"/>
    <mergeCell ref="D7:D11"/>
    <mergeCell ref="E7:E11"/>
    <mergeCell ref="L73:L76"/>
    <mergeCell ref="F35:F38"/>
    <mergeCell ref="A30:M30"/>
    <mergeCell ref="O34:Q34"/>
    <mergeCell ref="A32:M32"/>
    <mergeCell ref="B34:B38"/>
    <mergeCell ref="A34:A38"/>
    <mergeCell ref="C35:C38"/>
    <mergeCell ref="G35:G38"/>
    <mergeCell ref="Q7:Q11"/>
    <mergeCell ref="C34:N34"/>
    <mergeCell ref="L7:L11"/>
    <mergeCell ref="M7:M11"/>
    <mergeCell ref="N7:N11"/>
    <mergeCell ref="P7:P11"/>
    <mergeCell ref="G7:G11"/>
    <mergeCell ref="F7:F11"/>
    <mergeCell ref="I7:I11"/>
    <mergeCell ref="J7:J11"/>
    <mergeCell ref="H35:H38"/>
    <mergeCell ref="K35:K38"/>
    <mergeCell ref="I35:I38"/>
    <mergeCell ref="J35:J38"/>
    <mergeCell ref="E35:E38"/>
    <mergeCell ref="K73:K76"/>
  </mergeCells>
  <printOptions/>
  <pageMargins left="0" right="0" top="0.1968503937007874" bottom="0.1968503937007874" header="0" footer="0"/>
  <pageSetup firstPageNumber="1" useFirstPageNumber="1" horizontalDpi="300" verticalDpi="300" orientation="landscape" paperSize="9" scale="67" r:id="rId1"/>
  <headerFooter alignWithMargins="0">
    <oddFooter>&amp;L&amp;D&amp;Rstrona &amp;P z 3</oddFooter>
  </headerFooter>
  <rowBreaks count="2" manualBreakCount="2">
    <brk id="29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2016-08-26T11:29:32Z</cp:lastPrinted>
  <dcterms:created xsi:type="dcterms:W3CDTF">2001-05-17T08:58:03Z</dcterms:created>
  <dcterms:modified xsi:type="dcterms:W3CDTF">2021-05-31T09:32:29Z</dcterms:modified>
  <cp:category/>
  <cp:version/>
  <cp:contentType/>
  <cp:contentStatus/>
</cp:coreProperties>
</file>