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'doch_wyd'!$A$1:$M$119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8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<sst xmlns="http://schemas.openxmlformats.org/spreadsheetml/2006/main" count="336" uniqueCount="113">
  <si>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</si>
  <si>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</si>
  <si>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</si>
  <si>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</si>
  <si>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</si>
  <si>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</si>
  <si>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</si>
  <si>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</si>
  <si>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</si>
  <si>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</si>
  <si>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</si>
  <si>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</si>
  <si>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</si>
  <si>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</si>
  <si>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</si>
  <si>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</si>
  <si>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</si>
  <si>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</si>
  <si>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</si>
  <si>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</si>
  <si>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</si>
  <si>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</si>
  <si>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</si>
  <si>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</si>
  <si>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</si>
  <si>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</si>
  <si>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</si>
  <si>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</si>
  <si>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</si>
  <si>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</si>
  <si>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</si>
  <si>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</si>
  <si>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</si>
  <si>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</si>
  <si>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</si>
  <si>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</si>
  <si>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</si>
  <si>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</si>
  <si>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</si>
  <si>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</si>
  <si>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</si>
  <si>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</si>
  <si>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</si>
  <si>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</si>
  <si>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</si>
  <si>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</si>
  <si>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</si>
  <si>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</si>
  <si>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</si>
  <si>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</si>
  <si>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</si>
  <si>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</si>
  <si>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</si>
  <si>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</si>
  <si>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</si>
  <si>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</si>
  <si>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</si>
  <si>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</si>
  <si>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</si>
  <si>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</si>
  <si>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</si>
  <si>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</si>
  <si>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</si>
  <si>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</si>
  <si>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</si>
  <si>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</si>
  <si>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</si>
  <si>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</si>
  <si>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</si>
  <si>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</si>
  <si>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</si>
  <si>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</si>
  <si>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</si>
  <si>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</si>
  <si>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</si>
  <si>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</si>
  <si>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z tego:</t>
  </si>
  <si>
    <t>świadczenia na rzecz osób fizycznych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</si>
  <si>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</si>
  <si>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</si>
  <si>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</si>
  <si>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</si>
  <si>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</si>
  <si>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</si>
  <si>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</si>
  <si>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</si>
  <si>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</si>
  <si>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</si>
  <si>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</si>
  <si>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</si>
  <si>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</si>
  <si>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</si>
  <si>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</si>
  <si>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</si>
  <si>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</si>
  <si>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</si>
  <si>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</si>
  <si>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</si>
  <si>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</si>
  <si>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</si>
  <si>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</si>
  <si>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</si>
  <si>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</si>
  <si>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</si>
  <si>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</si>
  <si>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</si>
  <si>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</si>
  <si>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</si>
  <si>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wydatki na wynagrodzenia i pochodne od wynagrodzeń</t>
  </si>
  <si>
    <t>niewykorzystane środki pieniężne o których mowa w art.217 ust.2 pkt.8 ustawy o finansach publicznych</t>
  </si>
  <si>
    <t xml:space="preserve">otrzymane ze środków z Funduszu Przeciwdziałania COVID-19 (m.in. z Rządowego Funduszu Inwestycji Lokalnych) </t>
  </si>
  <si>
    <t>w tym: inwestycyjne</t>
  </si>
  <si>
    <t xml:space="preserve">Informacja z wykonania budżetów miast na prawach powiatu za III Kwartały 2021 rok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</si>
</sst>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5">
    <xf numFmtId="0" fontId="0" fillId="0" borderId="0" xfId="0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50" borderId="19" xfId="0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/>
    </xf>
    <xf numFmtId="164" fontId="33" fillId="5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/>
    </xf>
    <xf numFmtId="4" fontId="34" fillId="50" borderId="19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13" fillId="40" borderId="19" xfId="0" applyFont="1" applyFill="1" applyBorder="1" applyAlignment="1" quotePrefix="1">
      <alignment horizontal="center" vertical="center" wrapText="1"/>
    </xf>
    <xf numFmtId="4" fontId="35" fillId="0" borderId="19" xfId="0" applyNumberFormat="1" applyFont="1" applyBorder="1" applyAlignment="1">
      <alignment horizontal="center" vertical="center"/>
    </xf>
    <xf numFmtId="0" fontId="13" fillId="50" borderId="19" xfId="0" applyFont="1" applyFill="1" applyBorder="1" applyAlignment="1" quotePrefix="1">
      <alignment horizontal="center" vertical="center" wrapText="1"/>
    </xf>
    <xf numFmtId="164" fontId="34" fillId="40" borderId="19" xfId="0" applyNumberFormat="1" applyFont="1" applyFill="1" applyBorder="1" applyAlignment="1">
      <alignment horizontal="center" vertical="center"/>
    </xf>
    <xf numFmtId="0" fontId="5" fillId="51" borderId="19" xfId="0" applyFont="1" applyFill="1" applyBorder="1" applyAlignment="1">
      <alignment horizontal="center" vertical="center" wrapText="1"/>
    </xf>
    <xf numFmtId="4" fontId="34" fillId="51" borderId="19" xfId="0" applyNumberFormat="1" applyFont="1" applyFill="1" applyBorder="1" applyAlignment="1">
      <alignment horizontal="center" vertical="center"/>
    </xf>
    <xf numFmtId="164" fontId="34" fillId="51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3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36" fillId="50" borderId="19" xfId="0" applyNumberFormat="1" applyFont="1" applyFill="1" applyBorder="1" applyAlignment="1">
      <alignment horizontal="center" vertical="center"/>
    </xf>
    <xf numFmtId="164" fontId="36" fillId="5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 wrapText="1"/>
    </xf>
    <xf numFmtId="164" fontId="35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4" fontId="34" fillId="50" borderId="21" xfId="0" applyNumberFormat="1" applyFont="1" applyFill="1" applyBorder="1" applyAlignment="1">
      <alignment horizontal="center" vertical="center" wrapText="1"/>
    </xf>
    <xf numFmtId="4" fontId="34" fillId="5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center" vertical="center" wrapText="1"/>
    </xf>
    <xf numFmtId="164" fontId="36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 vertical="top" wrapText="1"/>
    </xf>
    <xf numFmtId="4" fontId="36" fillId="40" borderId="20" xfId="0" applyNumberFormat="1" applyFont="1" applyFill="1" applyBorder="1" applyAlignment="1">
      <alignment horizontal="center" vertical="center"/>
    </xf>
    <xf numFmtId="4" fontId="36" fillId="40" borderId="21" xfId="0" applyNumberFormat="1" applyFont="1" applyFill="1" applyBorder="1" applyAlignment="1">
      <alignment horizontal="center" vertical="center"/>
    </xf>
    <xf numFmtId="164" fontId="36" fillId="40" borderId="19" xfId="7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4" fontId="35" fillId="0" borderId="20" xfId="0" applyNumberFormat="1" applyFont="1" applyBorder="1" applyAlignment="1">
      <alignment horizontal="center" vertical="center"/>
    </xf>
    <xf numFmtId="4" fontId="35" fillId="0" borderId="21" xfId="0" applyNumberFormat="1" applyFont="1" applyBorder="1" applyAlignment="1">
      <alignment horizontal="center" vertical="center"/>
    </xf>
    <xf numFmtId="164" fontId="36" fillId="51" borderId="19" xfId="71" applyNumberFormat="1" applyFont="1" applyFill="1" applyBorder="1" applyAlignment="1">
      <alignment horizontal="center" vertical="center"/>
    </xf>
    <xf numFmtId="164" fontId="36" fillId="51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4" fontId="35" fillId="0" borderId="20" xfId="0" applyNumberFormat="1" applyFont="1" applyFill="1" applyBorder="1" applyAlignment="1">
      <alignment horizontal="center" vertical="center"/>
    </xf>
    <xf numFmtId="4" fontId="35" fillId="0" borderId="21" xfId="0" applyNumberFormat="1" applyFont="1" applyFill="1" applyBorder="1" applyAlignment="1">
      <alignment horizontal="center" vertical="center"/>
    </xf>
    <xf numFmtId="164" fontId="36" fillId="0" borderId="19" xfId="71" applyNumberFormat="1" applyFont="1" applyFill="1" applyBorder="1" applyAlignment="1">
      <alignment horizontal="center" vertical="center"/>
    </xf>
    <xf numFmtId="0" fontId="12" fillId="50" borderId="19" xfId="0" applyFont="1" applyFill="1" applyBorder="1" applyAlignment="1">
      <alignment horizontal="center" vertical="top" wrapText="1"/>
    </xf>
    <xf numFmtId="4" fontId="36" fillId="50" borderId="20" xfId="0" applyNumberFormat="1" applyFont="1" applyFill="1" applyBorder="1" applyAlignment="1">
      <alignment horizontal="center" vertical="center"/>
    </xf>
    <xf numFmtId="4" fontId="36" fillId="50" borderId="21" xfId="0" applyNumberFormat="1" applyFont="1" applyFill="1" applyBorder="1" applyAlignment="1">
      <alignment horizontal="center" vertical="center"/>
    </xf>
    <xf numFmtId="164" fontId="36" fillId="50" borderId="19" xfId="71" applyNumberFormat="1" applyFont="1" applyFill="1" applyBorder="1" applyAlignment="1">
      <alignment horizontal="center" vertical="center"/>
    </xf>
    <xf numFmtId="0" fontId="55" fillId="0" borderId="19" xfId="89" applyFont="1" applyFill="1" applyBorder="1" applyAlignment="1">
      <alignment horizontal="center" vertical="top" wrapText="1"/>
      <protection/>
    </xf>
    <xf numFmtId="4" fontId="36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50" borderId="19" xfId="0" applyFont="1" applyFill="1" applyBorder="1" applyAlignment="1">
      <alignment horizontal="center" vertical="center" wrapText="1"/>
    </xf>
    <xf numFmtId="164" fontId="34" fillId="5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4" fontId="36" fillId="50" borderId="19" xfId="0" applyNumberFormat="1" applyFont="1" applyFill="1" applyBorder="1" applyAlignment="1">
      <alignment horizontal="center" vertical="center"/>
    </xf>
    <xf numFmtId="4" fontId="34" fillId="0" borderId="20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20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22" hidden="1" customWidth="1"/>
    <col min="2" max="2" width="22.875" style="22" customWidth="1"/>
    <col min="3" max="5" width="14.625" style="22" customWidth="1"/>
    <col min="6" max="6" width="13.875" style="22" customWidth="1"/>
    <col min="7" max="7" width="13.00390625" style="22" customWidth="1"/>
    <col min="8" max="9" width="12.25390625" style="22" customWidth="1"/>
    <col min="10" max="10" width="13.00390625" style="22" customWidth="1"/>
    <col min="11" max="11" width="7.375" style="22" customWidth="1"/>
    <col min="12" max="12" width="7.25390625" style="22" customWidth="1"/>
    <col min="13" max="13" width="8.125" style="22" customWidth="1"/>
    <col min="14" max="16384" width="9.125" style="22" customWidth="1"/>
  </cols>
  <sheetData>
    <row r="1" spans="2:13" ht="27.75" customHeight="1">
      <c r="B1" s="98" t="s">
        <v>112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2:13" ht="63" customHeight="1">
      <c r="B2" s="99" t="s">
        <v>0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2</v>
      </c>
      <c r="L2" s="5" t="s">
        <v>18</v>
      </c>
      <c r="M2" s="5" t="s">
        <v>3</v>
      </c>
    </row>
    <row r="3" spans="2:13" ht="12.75">
      <c r="B3" s="99"/>
      <c r="C3" s="124" t="s">
        <v>84</v>
      </c>
      <c r="D3" s="124"/>
      <c r="E3" s="124"/>
      <c r="F3" s="124"/>
      <c r="G3" s="124"/>
      <c r="H3" s="124"/>
      <c r="I3" s="124"/>
      <c r="J3" s="124"/>
      <c r="K3" s="124" t="s">
        <v>4</v>
      </c>
      <c r="L3" s="124"/>
      <c r="M3" s="124"/>
    </row>
    <row r="4" spans="2:13" ht="12.75">
      <c r="B4" s="6">
        <v>1</v>
      </c>
      <c r="C4" s="8">
        <v>2</v>
      </c>
      <c r="D4" s="8">
        <v>3</v>
      </c>
      <c r="E4" s="8">
        <v>4</v>
      </c>
      <c r="F4" s="6">
        <v>5</v>
      </c>
      <c r="G4" s="8">
        <v>6</v>
      </c>
      <c r="H4" s="6">
        <v>7</v>
      </c>
      <c r="I4" s="8">
        <v>8</v>
      </c>
      <c r="J4" s="6">
        <v>9</v>
      </c>
      <c r="K4" s="8">
        <v>10</v>
      </c>
      <c r="L4" s="6">
        <v>11</v>
      </c>
      <c r="M4" s="8">
        <v>12</v>
      </c>
    </row>
    <row r="5" spans="2:13" ht="12.75">
      <c r="B5" s="23" t="s">
        <v>5</v>
      </c>
      <c r="C5" s="24">
        <f>104567569413.27</f>
        <v>104567569413.27</v>
      </c>
      <c r="D5" s="24">
        <f>80196789210.17</f>
        <v>80196789210.17</v>
      </c>
      <c r="E5" s="24">
        <f>77123033518.59</f>
        <v>77123033518.59</v>
      </c>
      <c r="F5" s="24">
        <f>408745870.84</f>
        <v>408745870.84</v>
      </c>
      <c r="G5" s="24">
        <f>119951773.05</f>
        <v>119951773.05</v>
      </c>
      <c r="H5" s="24">
        <f>29444996.3</f>
        <v>29444996.3</v>
      </c>
      <c r="I5" s="24">
        <f>101067073.76</f>
        <v>101067073.76</v>
      </c>
      <c r="J5" s="24">
        <f>1415596.85</f>
        <v>1415596.85</v>
      </c>
      <c r="K5" s="25">
        <f aca="true" t="shared" si="0" ref="K5:K65">IF($D$5=0,"",100*$D5/$D$5)</f>
        <v>100</v>
      </c>
      <c r="L5" s="25">
        <f aca="true" t="shared" si="1" ref="L5:L65">IF(C5=0,"",100*D5/C5)</f>
        <v>76.69374898943835</v>
      </c>
      <c r="M5" s="25"/>
    </row>
    <row r="6" spans="2:13" ht="25.5" customHeight="1">
      <c r="B6" s="23" t="s">
        <v>64</v>
      </c>
      <c r="C6" s="24">
        <f>C5-C23-C52</f>
        <v>58993900455.369995</v>
      </c>
      <c r="D6" s="24">
        <f>D5-D23-D52</f>
        <v>45407852551.49</v>
      </c>
      <c r="E6" s="24">
        <f>E5-E23-E52</f>
        <v>43863243512.64</v>
      </c>
      <c r="F6" s="24">
        <f>F5</f>
        <v>408745870.84</v>
      </c>
      <c r="G6" s="24">
        <f>G5</f>
        <v>119951773.05</v>
      </c>
      <c r="H6" s="24">
        <f>H5</f>
        <v>29444996.3</v>
      </c>
      <c r="I6" s="24">
        <f>I5</f>
        <v>101067073.76</v>
      </c>
      <c r="J6" s="24">
        <f>J5</f>
        <v>1415596.85</v>
      </c>
      <c r="K6" s="25">
        <f t="shared" si="0"/>
        <v>56.62053680539581</v>
      </c>
      <c r="L6" s="25">
        <f t="shared" si="1"/>
        <v>76.9704193162171</v>
      </c>
      <c r="M6" s="25">
        <f aca="true" t="shared" si="2" ref="M6:M22">IF($D$6=0,"",100*$D6/$D$6)</f>
        <v>100</v>
      </c>
    </row>
    <row r="7" spans="2:13" ht="33.75">
      <c r="B7" s="26" t="s">
        <v>65</v>
      </c>
      <c r="C7" s="27">
        <f>1928470243</f>
        <v>1928470243</v>
      </c>
      <c r="D7" s="27">
        <f>1877989789.6</f>
        <v>1877989789.6</v>
      </c>
      <c r="E7" s="27">
        <f>1906194783.52</f>
        <v>1906194783.52</v>
      </c>
      <c r="F7" s="27">
        <f>0</f>
        <v>0</v>
      </c>
      <c r="G7" s="27">
        <f>0</f>
        <v>0</v>
      </c>
      <c r="H7" s="27">
        <f>0</f>
        <v>0</v>
      </c>
      <c r="I7" s="27">
        <f>0</f>
        <v>0</v>
      </c>
      <c r="J7" s="27">
        <f>0</f>
        <v>0</v>
      </c>
      <c r="K7" s="28">
        <f t="shared" si="0"/>
        <v>2.341726904650001</v>
      </c>
      <c r="L7" s="28">
        <f t="shared" si="1"/>
        <v>97.38235767011521</v>
      </c>
      <c r="M7" s="28">
        <f t="shared" si="2"/>
        <v>4.135826039054508</v>
      </c>
    </row>
    <row r="8" spans="2:13" ht="33.75">
      <c r="B8" s="29" t="s">
        <v>66</v>
      </c>
      <c r="C8" s="30">
        <f>512629203.05</f>
        <v>512629203.05</v>
      </c>
      <c r="D8" s="30">
        <f>391869110.92</f>
        <v>391869110.92</v>
      </c>
      <c r="E8" s="30">
        <f>397724921.71</f>
        <v>397724921.71</v>
      </c>
      <c r="F8" s="30">
        <f>0</f>
        <v>0</v>
      </c>
      <c r="G8" s="30">
        <f>0</f>
        <v>0</v>
      </c>
      <c r="H8" s="30">
        <f>0</f>
        <v>0</v>
      </c>
      <c r="I8" s="30">
        <f>0</f>
        <v>0</v>
      </c>
      <c r="J8" s="30">
        <f>0</f>
        <v>0</v>
      </c>
      <c r="K8" s="28">
        <f t="shared" si="0"/>
        <v>0.4886344138953457</v>
      </c>
      <c r="L8" s="28">
        <f t="shared" si="1"/>
        <v>76.44299399809623</v>
      </c>
      <c r="M8" s="28">
        <f t="shared" si="2"/>
        <v>0.8629985539960122</v>
      </c>
    </row>
    <row r="9" spans="2:13" ht="33.75">
      <c r="B9" s="29" t="s">
        <v>67</v>
      </c>
      <c r="C9" s="30">
        <f>19910238857</f>
        <v>19910238857</v>
      </c>
      <c r="D9" s="30">
        <f>15052526463</f>
        <v>15052526463</v>
      </c>
      <c r="E9" s="30">
        <f>13807998885</f>
        <v>13807998885</v>
      </c>
      <c r="F9" s="30">
        <f>0</f>
        <v>0</v>
      </c>
      <c r="G9" s="30">
        <f>0</f>
        <v>0</v>
      </c>
      <c r="H9" s="30">
        <f>0</f>
        <v>0</v>
      </c>
      <c r="I9" s="30">
        <f>0</f>
        <v>0</v>
      </c>
      <c r="J9" s="30">
        <f>0</f>
        <v>0</v>
      </c>
      <c r="K9" s="28">
        <f t="shared" si="0"/>
        <v>18.76948767057515</v>
      </c>
      <c r="L9" s="28">
        <f t="shared" si="1"/>
        <v>75.60193813399614</v>
      </c>
      <c r="M9" s="28">
        <f t="shared" si="2"/>
        <v>33.149610953152354</v>
      </c>
    </row>
    <row r="10" spans="2:13" ht="33.75">
      <c r="B10" s="29" t="s">
        <v>68</v>
      </c>
      <c r="C10" s="30">
        <f>5329699458.5</f>
        <v>5329699458.5</v>
      </c>
      <c r="D10" s="30">
        <f>4035754338</f>
        <v>4035754338</v>
      </c>
      <c r="E10" s="30">
        <f>3712864098</f>
        <v>3712864098</v>
      </c>
      <c r="F10" s="30">
        <f>0</f>
        <v>0</v>
      </c>
      <c r="G10" s="30">
        <f>0</f>
        <v>0</v>
      </c>
      <c r="H10" s="30">
        <f>0</f>
        <v>0</v>
      </c>
      <c r="I10" s="30">
        <f>0</f>
        <v>0</v>
      </c>
      <c r="J10" s="30">
        <f>0</f>
        <v>0</v>
      </c>
      <c r="K10" s="28">
        <f t="shared" si="0"/>
        <v>5.032314108515723</v>
      </c>
      <c r="L10" s="28">
        <f t="shared" si="1"/>
        <v>75.7219871293799</v>
      </c>
      <c r="M10" s="28">
        <f t="shared" si="2"/>
        <v>8.88778947082705</v>
      </c>
    </row>
    <row r="11" spans="2:13" ht="12.75">
      <c r="B11" s="29" t="s">
        <v>19</v>
      </c>
      <c r="C11" s="30">
        <f>22453948</f>
        <v>22453948</v>
      </c>
      <c r="D11" s="30">
        <f>19519988.97</f>
        <v>19519988.97</v>
      </c>
      <c r="E11" s="30">
        <f>19517523.95</f>
        <v>19517523.95</v>
      </c>
      <c r="F11" s="30">
        <f>560016.86</f>
        <v>560016.86</v>
      </c>
      <c r="G11" s="30">
        <f>5721.48</f>
        <v>5721.48</v>
      </c>
      <c r="H11" s="30">
        <f>7994.92</f>
        <v>7994.92</v>
      </c>
      <c r="I11" s="30">
        <f>76196.32</f>
        <v>76196.32</v>
      </c>
      <c r="J11" s="30">
        <f>0</f>
        <v>0</v>
      </c>
      <c r="K11" s="28">
        <f t="shared" si="0"/>
        <v>0.024340112817789233</v>
      </c>
      <c r="L11" s="28">
        <f t="shared" si="1"/>
        <v>86.93343803058598</v>
      </c>
      <c r="M11" s="28">
        <f t="shared" si="2"/>
        <v>0.04298813503207492</v>
      </c>
    </row>
    <row r="12" spans="2:13" ht="12.75">
      <c r="B12" s="29" t="s">
        <v>20</v>
      </c>
      <c r="C12" s="30">
        <f>9806221033.06</f>
        <v>9806221033.06</v>
      </c>
      <c r="D12" s="31">
        <f>7587405793.76</f>
        <v>7587405793.76</v>
      </c>
      <c r="E12" s="30">
        <f>7587193027.68</f>
        <v>7587193027.68</v>
      </c>
      <c r="F12" s="30">
        <f>183198709.91</f>
        <v>183198709.91</v>
      </c>
      <c r="G12" s="30">
        <f>100750686.42</f>
        <v>100750686.42</v>
      </c>
      <c r="H12" s="30">
        <f>26050884.26</f>
        <v>26050884.26</v>
      </c>
      <c r="I12" s="30">
        <f>87967257.19</f>
        <v>87967257.19</v>
      </c>
      <c r="J12" s="30">
        <f>1318157.93</f>
        <v>1318157.93</v>
      </c>
      <c r="K12" s="28">
        <f t="shared" si="0"/>
        <v>9.460984496369111</v>
      </c>
      <c r="L12" s="28">
        <f t="shared" si="1"/>
        <v>77.37339152544448</v>
      </c>
      <c r="M12" s="28">
        <f t="shared" si="2"/>
        <v>16.709457433945595</v>
      </c>
    </row>
    <row r="13" spans="2:13" ht="12.75">
      <c r="B13" s="29" t="s">
        <v>21</v>
      </c>
      <c r="C13" s="30">
        <f>4639361</f>
        <v>4639361</v>
      </c>
      <c r="D13" s="31">
        <f>3618530.56</f>
        <v>3618530.56</v>
      </c>
      <c r="E13" s="30">
        <f>3618523.05</f>
        <v>3618523.05</v>
      </c>
      <c r="F13" s="30">
        <f>0</f>
        <v>0</v>
      </c>
      <c r="G13" s="30">
        <f>19833.53</f>
        <v>19833.53</v>
      </c>
      <c r="H13" s="30">
        <f>1451.4</f>
        <v>1451.4</v>
      </c>
      <c r="I13" s="30">
        <f>1501.1</f>
        <v>1501.1</v>
      </c>
      <c r="J13" s="30">
        <f>0</f>
        <v>0</v>
      </c>
      <c r="K13" s="28">
        <f t="shared" si="0"/>
        <v>0.00451206413079331</v>
      </c>
      <c r="L13" s="28">
        <f t="shared" si="1"/>
        <v>77.99631371647949</v>
      </c>
      <c r="M13" s="28">
        <f t="shared" si="2"/>
        <v>0.007968953290395722</v>
      </c>
    </row>
    <row r="14" spans="2:13" ht="22.5">
      <c r="B14" s="29" t="s">
        <v>22</v>
      </c>
      <c r="C14" s="30">
        <f>354519750</f>
        <v>354519750</v>
      </c>
      <c r="D14" s="31">
        <f>326694836.13</f>
        <v>326694836.13</v>
      </c>
      <c r="E14" s="30">
        <f>326661146.74</f>
        <v>326661146.74</v>
      </c>
      <c r="F14" s="30">
        <f>224587178.89</f>
        <v>224587178.89</v>
      </c>
      <c r="G14" s="30">
        <f>114530.29</f>
        <v>114530.29</v>
      </c>
      <c r="H14" s="30">
        <f>342410.3</f>
        <v>342410.3</v>
      </c>
      <c r="I14" s="30">
        <f>1591049.41</f>
        <v>1591049.41</v>
      </c>
      <c r="J14" s="30">
        <f>0</f>
        <v>0</v>
      </c>
      <c r="K14" s="28">
        <f t="shared" si="0"/>
        <v>0.4073664785679111</v>
      </c>
      <c r="L14" s="28">
        <f t="shared" si="1"/>
        <v>92.15137834493001</v>
      </c>
      <c r="M14" s="28">
        <f t="shared" si="2"/>
        <v>0.7194677082769904</v>
      </c>
    </row>
    <row r="15" spans="2:13" ht="33.75">
      <c r="B15" s="29" t="s">
        <v>41</v>
      </c>
      <c r="C15" s="30">
        <f>34157308</f>
        <v>34157308</v>
      </c>
      <c r="D15" s="31">
        <f>61481355.33</f>
        <v>61481355.33</v>
      </c>
      <c r="E15" s="30">
        <f>60955238.61</f>
        <v>60955238.61</v>
      </c>
      <c r="F15" s="30">
        <f>0</f>
        <v>0</v>
      </c>
      <c r="G15" s="30">
        <f>0</f>
        <v>0</v>
      </c>
      <c r="H15" s="30">
        <f>48822.95</f>
        <v>48822.95</v>
      </c>
      <c r="I15" s="30">
        <f>157374.18</f>
        <v>157374.18</v>
      </c>
      <c r="J15" s="30">
        <f>0</f>
        <v>0</v>
      </c>
      <c r="K15" s="28">
        <f t="shared" si="0"/>
        <v>0.076663113243695</v>
      </c>
      <c r="L15" s="28">
        <f t="shared" si="1"/>
        <v>179.9947329865691</v>
      </c>
      <c r="M15" s="28">
        <f t="shared" si="2"/>
        <v>0.1353980685615633</v>
      </c>
    </row>
    <row r="16" spans="2:13" ht="22.5" customHeight="1">
      <c r="B16" s="29" t="s">
        <v>27</v>
      </c>
      <c r="C16" s="30">
        <f>170025992.24</f>
        <v>170025992.24</v>
      </c>
      <c r="D16" s="31">
        <f>166381368.06</f>
        <v>166381368.06</v>
      </c>
      <c r="E16" s="30">
        <f>164750991.32</f>
        <v>164750991.32</v>
      </c>
      <c r="F16" s="30">
        <f>0</f>
        <v>0</v>
      </c>
      <c r="G16" s="30">
        <f>0</f>
        <v>0</v>
      </c>
      <c r="H16" s="30">
        <f>761949.64</f>
        <v>761949.64</v>
      </c>
      <c r="I16" s="30">
        <f>4703244.28</f>
        <v>4703244.28</v>
      </c>
      <c r="J16" s="30">
        <f>0</f>
        <v>0</v>
      </c>
      <c r="K16" s="28">
        <f t="shared" si="0"/>
        <v>0.20746637078445615</v>
      </c>
      <c r="L16" s="28">
        <f t="shared" si="1"/>
        <v>97.85643116562117</v>
      </c>
      <c r="M16" s="28">
        <f t="shared" si="2"/>
        <v>0.36641540771242753</v>
      </c>
    </row>
    <row r="17" spans="2:13" ht="22.5" customHeight="1">
      <c r="B17" s="29" t="s">
        <v>28</v>
      </c>
      <c r="C17" s="30">
        <f>1581607753.21</f>
        <v>1581607753.21</v>
      </c>
      <c r="D17" s="31">
        <f>1745625147.41</f>
        <v>1745625147.41</v>
      </c>
      <c r="E17" s="30">
        <f>1742936876.05</f>
        <v>1742936876.05</v>
      </c>
      <c r="F17" s="30">
        <f>0</f>
        <v>0</v>
      </c>
      <c r="G17" s="30">
        <f>0</f>
        <v>0</v>
      </c>
      <c r="H17" s="30">
        <f>93666</f>
        <v>93666</v>
      </c>
      <c r="I17" s="30">
        <f>93717.53</f>
        <v>93717.53</v>
      </c>
      <c r="J17" s="30">
        <f>0</f>
        <v>0</v>
      </c>
      <c r="K17" s="28">
        <f t="shared" si="0"/>
        <v>2.1766771021658706</v>
      </c>
      <c r="L17" s="28">
        <f t="shared" si="1"/>
        <v>110.37029528131191</v>
      </c>
      <c r="M17" s="28">
        <f t="shared" si="2"/>
        <v>3.844324382947988</v>
      </c>
    </row>
    <row r="18" spans="2:13" ht="12.75">
      <c r="B18" s="29" t="s">
        <v>55</v>
      </c>
      <c r="C18" s="30">
        <f>325585846</f>
        <v>325585846</v>
      </c>
      <c r="D18" s="31">
        <f>270460925.2</f>
        <v>270460925.2</v>
      </c>
      <c r="E18" s="30">
        <f>270346455.42</f>
        <v>270346455.42</v>
      </c>
      <c r="F18" s="30">
        <f>0</f>
        <v>0</v>
      </c>
      <c r="G18" s="30">
        <f>0</f>
        <v>0</v>
      </c>
      <c r="H18" s="30">
        <f>4841</f>
        <v>4841</v>
      </c>
      <c r="I18" s="30">
        <f>0</f>
        <v>0</v>
      </c>
      <c r="J18" s="30">
        <f>0</f>
        <v>0</v>
      </c>
      <c r="K18" s="28">
        <f t="shared" si="0"/>
        <v>0.3372465754099068</v>
      </c>
      <c r="L18" s="28">
        <f t="shared" si="1"/>
        <v>83.0690057699867</v>
      </c>
      <c r="M18" s="28">
        <f t="shared" si="2"/>
        <v>0.5956258884810997</v>
      </c>
    </row>
    <row r="19" spans="2:13" ht="12.75">
      <c r="B19" s="29" t="s">
        <v>56</v>
      </c>
      <c r="C19" s="30">
        <f>9580706</f>
        <v>9580706</v>
      </c>
      <c r="D19" s="31">
        <f>9240412.08</f>
        <v>9240412.08</v>
      </c>
      <c r="E19" s="30">
        <f>9240412.08</f>
        <v>9240412.08</v>
      </c>
      <c r="F19" s="30">
        <f>0</f>
        <v>0</v>
      </c>
      <c r="G19" s="30">
        <f>0</f>
        <v>0</v>
      </c>
      <c r="H19" s="30">
        <f>0</f>
        <v>0</v>
      </c>
      <c r="I19" s="30">
        <f>0</f>
        <v>0</v>
      </c>
      <c r="J19" s="30">
        <f>0</f>
        <v>0</v>
      </c>
      <c r="K19" s="28">
        <f t="shared" si="0"/>
        <v>0.011522172110636313</v>
      </c>
      <c r="L19" s="28">
        <f t="shared" si="1"/>
        <v>96.44813315427902</v>
      </c>
      <c r="M19" s="28">
        <f t="shared" si="2"/>
        <v>0.02034981079433757</v>
      </c>
    </row>
    <row r="20" spans="2:13" ht="12.75">
      <c r="B20" s="29" t="s">
        <v>57</v>
      </c>
      <c r="C20" s="30">
        <f>174941</f>
        <v>174941</v>
      </c>
      <c r="D20" s="31">
        <f>317327.91</f>
        <v>317327.91</v>
      </c>
      <c r="E20" s="30">
        <f>317327.91</f>
        <v>317327.91</v>
      </c>
      <c r="F20" s="30">
        <f>0</f>
        <v>0</v>
      </c>
      <c r="G20" s="30">
        <f>0</f>
        <v>0</v>
      </c>
      <c r="H20" s="30">
        <f>1282.5</f>
        <v>1282.5</v>
      </c>
      <c r="I20" s="30">
        <f>8736.5</f>
        <v>8736.5</v>
      </c>
      <c r="J20" s="30">
        <f>0</f>
        <v>0</v>
      </c>
      <c r="K20" s="28">
        <f t="shared" si="0"/>
        <v>0.00039568655194958686</v>
      </c>
      <c r="L20" s="28">
        <f t="shared" si="1"/>
        <v>181.3913890968955</v>
      </c>
      <c r="M20" s="28">
        <f t="shared" si="2"/>
        <v>0.0006988392803649273</v>
      </c>
    </row>
    <row r="21" spans="2:13" ht="12.75">
      <c r="B21" s="29" t="s">
        <v>23</v>
      </c>
      <c r="C21" s="30">
        <f>5030757780.01</f>
        <v>5030757780.01</v>
      </c>
      <c r="D21" s="31">
        <f>3500844159.3</f>
        <v>3500844159.3</v>
      </c>
      <c r="E21" s="30">
        <f>3500576169.29</f>
        <v>3500576169.29</v>
      </c>
      <c r="F21" s="30">
        <f>0</f>
        <v>0</v>
      </c>
      <c r="G21" s="30">
        <f>23649.77</f>
        <v>23649.77</v>
      </c>
      <c r="H21" s="30">
        <f>0</f>
        <v>0</v>
      </c>
      <c r="I21" s="30">
        <f>0</f>
        <v>0</v>
      </c>
      <c r="J21" s="30">
        <f>0</f>
        <v>0</v>
      </c>
      <c r="K21" s="28">
        <f t="shared" si="0"/>
        <v>4.3653171078026745</v>
      </c>
      <c r="L21" s="28">
        <f t="shared" si="1"/>
        <v>69.58880376254253</v>
      </c>
      <c r="M21" s="28">
        <f t="shared" si="2"/>
        <v>7.7097769715716815</v>
      </c>
    </row>
    <row r="22" spans="2:13" ht="13.5" customHeight="1">
      <c r="B22" s="29" t="s">
        <v>24</v>
      </c>
      <c r="C22" s="30">
        <f>C6-SUM(C7:C21)</f>
        <v>13973138275.299995</v>
      </c>
      <c r="D22" s="30">
        <f aca="true" t="shared" si="3" ref="D22:J22">D6-SUM(D7:D21)</f>
        <v>10358123005.259987</v>
      </c>
      <c r="E22" s="30">
        <f t="shared" si="3"/>
        <v>10352347132.309998</v>
      </c>
      <c r="F22" s="30">
        <f t="shared" si="3"/>
        <v>399965.18000000715</v>
      </c>
      <c r="G22" s="30">
        <f t="shared" si="3"/>
        <v>19037351.559999987</v>
      </c>
      <c r="H22" s="30">
        <f t="shared" si="3"/>
        <v>2131693.329999998</v>
      </c>
      <c r="I22" s="30">
        <f t="shared" si="3"/>
        <v>6467997.250000015</v>
      </c>
      <c r="J22" s="30">
        <f t="shared" si="3"/>
        <v>97438.92000000016</v>
      </c>
      <c r="K22" s="28">
        <f t="shared" si="0"/>
        <v>12.91588242780478</v>
      </c>
      <c r="L22" s="28">
        <f t="shared" si="1"/>
        <v>74.12882346959816</v>
      </c>
      <c r="M22" s="28">
        <f t="shared" si="2"/>
        <v>22.81130338307553</v>
      </c>
    </row>
    <row r="23" spans="2:13" ht="26.25" customHeight="1">
      <c r="B23" s="23" t="s">
        <v>76</v>
      </c>
      <c r="C23" s="24">
        <f>C24+C48+C50</f>
        <v>26068107497.9</v>
      </c>
      <c r="D23" s="24">
        <f>D24+D48+D50</f>
        <v>18400686446.68</v>
      </c>
      <c r="E23" s="24">
        <f>E24+E48+E50</f>
        <v>18242909829.95</v>
      </c>
      <c r="F23" s="32" t="s">
        <v>63</v>
      </c>
      <c r="G23" s="32" t="s">
        <v>63</v>
      </c>
      <c r="H23" s="32" t="s">
        <v>63</v>
      </c>
      <c r="I23" s="32" t="s">
        <v>63</v>
      </c>
      <c r="J23" s="32" t="s">
        <v>63</v>
      </c>
      <c r="K23" s="25">
        <f t="shared" si="0"/>
        <v>22.944417884932673</v>
      </c>
      <c r="L23" s="25">
        <f t="shared" si="1"/>
        <v>70.5869670368757</v>
      </c>
      <c r="M23" s="33"/>
    </row>
    <row r="24" spans="2:13" ht="25.5" customHeight="1">
      <c r="B24" s="23" t="s">
        <v>69</v>
      </c>
      <c r="C24" s="24">
        <f>C25+C32+C39</f>
        <v>19961155655.170002</v>
      </c>
      <c r="D24" s="24">
        <f>D25+D32+D39</f>
        <v>15648514977.7</v>
      </c>
      <c r="E24" s="24">
        <f>E25+E32+E39</f>
        <v>15491783751.95</v>
      </c>
      <c r="F24" s="32" t="s">
        <v>63</v>
      </c>
      <c r="G24" s="32" t="s">
        <v>63</v>
      </c>
      <c r="H24" s="32" t="s">
        <v>63</v>
      </c>
      <c r="I24" s="32" t="s">
        <v>63</v>
      </c>
      <c r="J24" s="32" t="s">
        <v>63</v>
      </c>
      <c r="K24" s="25">
        <f t="shared" si="0"/>
        <v>19.512645246545063</v>
      </c>
      <c r="L24" s="25">
        <f t="shared" si="1"/>
        <v>78.39483468807572</v>
      </c>
      <c r="M24" s="34"/>
    </row>
    <row r="25" spans="2:13" ht="13.5" customHeight="1">
      <c r="B25" s="35" t="s">
        <v>58</v>
      </c>
      <c r="C25" s="24">
        <f>C26+C28+C30</f>
        <v>16850019285.03</v>
      </c>
      <c r="D25" s="24">
        <f>D26+D28+D30</f>
        <v>13202575897.130001</v>
      </c>
      <c r="E25" s="24">
        <f>E26+E28+E30</f>
        <v>13192119294.69</v>
      </c>
      <c r="F25" s="32" t="s">
        <v>63</v>
      </c>
      <c r="G25" s="32" t="s">
        <v>63</v>
      </c>
      <c r="H25" s="32" t="s">
        <v>63</v>
      </c>
      <c r="I25" s="32" t="s">
        <v>63</v>
      </c>
      <c r="J25" s="32" t="s">
        <v>63</v>
      </c>
      <c r="K25" s="25">
        <f t="shared" si="0"/>
        <v>16.46272379126089</v>
      </c>
      <c r="L25" s="25">
        <f t="shared" si="1"/>
        <v>78.35347647856709</v>
      </c>
      <c r="M25" s="34"/>
    </row>
    <row r="26" spans="2:13" ht="22.5" customHeight="1">
      <c r="B26" s="29" t="s">
        <v>9</v>
      </c>
      <c r="C26" s="27">
        <f>15417468281.79</f>
        <v>15417468281.79</v>
      </c>
      <c r="D26" s="36">
        <f>12134235359.06</f>
        <v>12134235359.06</v>
      </c>
      <c r="E26" s="27">
        <f>12130194835.19</f>
        <v>12130194835.19</v>
      </c>
      <c r="F26" s="27" t="s">
        <v>63</v>
      </c>
      <c r="G26" s="27" t="s">
        <v>63</v>
      </c>
      <c r="H26" s="27" t="s">
        <v>63</v>
      </c>
      <c r="I26" s="27" t="s">
        <v>63</v>
      </c>
      <c r="J26" s="27" t="s">
        <v>63</v>
      </c>
      <c r="K26" s="28">
        <f t="shared" si="0"/>
        <v>15.130575024967733</v>
      </c>
      <c r="L26" s="28">
        <f t="shared" si="1"/>
        <v>78.70446131153766</v>
      </c>
      <c r="M26" s="34"/>
    </row>
    <row r="27" spans="2:13" ht="12.75">
      <c r="B27" s="29" t="s">
        <v>6</v>
      </c>
      <c r="C27" s="30">
        <f>4179119.78</f>
        <v>4179119.78</v>
      </c>
      <c r="D27" s="30">
        <f>418961.49</f>
        <v>418961.49</v>
      </c>
      <c r="E27" s="30">
        <f>418961.49</f>
        <v>418961.49</v>
      </c>
      <c r="F27" s="30" t="s">
        <v>63</v>
      </c>
      <c r="G27" s="30" t="s">
        <v>63</v>
      </c>
      <c r="H27" s="30" t="s">
        <v>63</v>
      </c>
      <c r="I27" s="30" t="s">
        <v>63</v>
      </c>
      <c r="J27" s="30" t="s">
        <v>63</v>
      </c>
      <c r="K27" s="28">
        <f t="shared" si="0"/>
        <v>0.000522416787662205</v>
      </c>
      <c r="L27" s="28">
        <f t="shared" si="1"/>
        <v>10.02511323090146</v>
      </c>
      <c r="M27" s="34"/>
    </row>
    <row r="28" spans="2:13" ht="13.5" customHeight="1">
      <c r="B28" s="29" t="s">
        <v>7</v>
      </c>
      <c r="C28" s="30">
        <f>1417321830.42</f>
        <v>1417321830.42</v>
      </c>
      <c r="D28" s="31">
        <f>1055028985.37</f>
        <v>1055028985.37</v>
      </c>
      <c r="E28" s="30">
        <f>1048834236</f>
        <v>1048834236</v>
      </c>
      <c r="F28" s="30" t="s">
        <v>63</v>
      </c>
      <c r="G28" s="30" t="s">
        <v>63</v>
      </c>
      <c r="H28" s="30" t="s">
        <v>63</v>
      </c>
      <c r="I28" s="30" t="s">
        <v>63</v>
      </c>
      <c r="J28" s="30" t="s">
        <v>63</v>
      </c>
      <c r="K28" s="28">
        <f t="shared" si="0"/>
        <v>1.3155501557613587</v>
      </c>
      <c r="L28" s="28">
        <f t="shared" si="1"/>
        <v>74.43820893221968</v>
      </c>
      <c r="M28" s="34"/>
    </row>
    <row r="29" spans="2:13" ht="12.75">
      <c r="B29" s="29" t="s">
        <v>6</v>
      </c>
      <c r="C29" s="30">
        <f>36395110.35</f>
        <v>36395110.35</v>
      </c>
      <c r="D29" s="30">
        <f>17845334.68</f>
        <v>17845334.68</v>
      </c>
      <c r="E29" s="30">
        <f>17844150.68</f>
        <v>17844150.68</v>
      </c>
      <c r="F29" s="30" t="s">
        <v>63</v>
      </c>
      <c r="G29" s="30" t="s">
        <v>63</v>
      </c>
      <c r="H29" s="30" t="s">
        <v>63</v>
      </c>
      <c r="I29" s="30" t="s">
        <v>63</v>
      </c>
      <c r="J29" s="30" t="s">
        <v>63</v>
      </c>
      <c r="K29" s="28">
        <f t="shared" si="0"/>
        <v>0.02225193159944735</v>
      </c>
      <c r="L29" s="28">
        <f t="shared" si="1"/>
        <v>49.03223127608953</v>
      </c>
      <c r="M29" s="34"/>
    </row>
    <row r="30" spans="2:13" ht="33.75">
      <c r="B30" s="29" t="s">
        <v>10</v>
      </c>
      <c r="C30" s="30">
        <f>15229172.82</f>
        <v>15229172.82</v>
      </c>
      <c r="D30" s="31">
        <f>13311552.7</f>
        <v>13311552.7</v>
      </c>
      <c r="E30" s="30">
        <f>13090223.5</f>
        <v>13090223.5</v>
      </c>
      <c r="F30" s="30" t="s">
        <v>63</v>
      </c>
      <c r="G30" s="30" t="s">
        <v>63</v>
      </c>
      <c r="H30" s="30" t="s">
        <v>63</v>
      </c>
      <c r="I30" s="30" t="s">
        <v>63</v>
      </c>
      <c r="J30" s="30" t="s">
        <v>63</v>
      </c>
      <c r="K30" s="28">
        <f t="shared" si="0"/>
        <v>0.016598610531794112</v>
      </c>
      <c r="L30" s="28">
        <f t="shared" si="1"/>
        <v>87.40824506580128</v>
      </c>
      <c r="M30" s="34"/>
    </row>
    <row r="31" spans="2:13" ht="12.75">
      <c r="B31" s="29" t="s">
        <v>6</v>
      </c>
      <c r="C31" s="30">
        <f>1054326.04</f>
        <v>1054326.04</v>
      </c>
      <c r="D31" s="30">
        <f>2055208.74</f>
        <v>2055208.74</v>
      </c>
      <c r="E31" s="30">
        <f>1946111.94</f>
        <v>1946111.94</v>
      </c>
      <c r="F31" s="30" t="s">
        <v>63</v>
      </c>
      <c r="G31" s="30" t="s">
        <v>63</v>
      </c>
      <c r="H31" s="30" t="s">
        <v>63</v>
      </c>
      <c r="I31" s="30" t="s">
        <v>63</v>
      </c>
      <c r="J31" s="30" t="s">
        <v>63</v>
      </c>
      <c r="K31" s="28">
        <f t="shared" si="0"/>
        <v>0.002562707011391639</v>
      </c>
      <c r="L31" s="28">
        <f t="shared" si="1"/>
        <v>194.93104239367926</v>
      </c>
      <c r="M31" s="34"/>
    </row>
    <row r="32" spans="2:13" ht="13.5" customHeight="1">
      <c r="B32" s="37" t="s">
        <v>59</v>
      </c>
      <c r="C32" s="24">
        <f>C33+C35+C37</f>
        <v>2103870288.78</v>
      </c>
      <c r="D32" s="24">
        <f>D33+D35+D37</f>
        <v>1735465126.15</v>
      </c>
      <c r="E32" s="24">
        <f>E33+E35+E37</f>
        <v>1671578591.73</v>
      </c>
      <c r="F32" s="32" t="s">
        <v>63</v>
      </c>
      <c r="G32" s="32" t="s">
        <v>63</v>
      </c>
      <c r="H32" s="32" t="s">
        <v>63</v>
      </c>
      <c r="I32" s="32" t="s">
        <v>63</v>
      </c>
      <c r="J32" s="32" t="s">
        <v>63</v>
      </c>
      <c r="K32" s="25">
        <f t="shared" si="0"/>
        <v>2.164008239284872</v>
      </c>
      <c r="L32" s="25">
        <f t="shared" si="1"/>
        <v>82.48916938488485</v>
      </c>
      <c r="M32" s="34"/>
    </row>
    <row r="33" spans="2:13" ht="22.5">
      <c r="B33" s="29" t="s">
        <v>9</v>
      </c>
      <c r="C33" s="30">
        <f>1870831660.24</f>
        <v>1870831660.24</v>
      </c>
      <c r="D33" s="30">
        <f>1563084173.21</f>
        <v>1563084173.21</v>
      </c>
      <c r="E33" s="30">
        <f>1500847053.78</f>
        <v>1500847053.78</v>
      </c>
      <c r="F33" s="30" t="s">
        <v>63</v>
      </c>
      <c r="G33" s="30" t="s">
        <v>63</v>
      </c>
      <c r="H33" s="30" t="s">
        <v>63</v>
      </c>
      <c r="I33" s="30" t="s">
        <v>63</v>
      </c>
      <c r="J33" s="30" t="s">
        <v>63</v>
      </c>
      <c r="K33" s="28">
        <f t="shared" si="0"/>
        <v>1.949060789844914</v>
      </c>
      <c r="L33" s="28">
        <f t="shared" si="1"/>
        <v>83.55023097104736</v>
      </c>
      <c r="M33" s="34"/>
    </row>
    <row r="34" spans="2:13" ht="12.75">
      <c r="B34" s="29" t="s">
        <v>6</v>
      </c>
      <c r="C34" s="30">
        <f>33148563.04</f>
        <v>33148563.04</v>
      </c>
      <c r="D34" s="31">
        <f>23097481.93</f>
        <v>23097481.93</v>
      </c>
      <c r="E34" s="30">
        <f>23096311.35</f>
        <v>23096311.35</v>
      </c>
      <c r="F34" s="30" t="s">
        <v>63</v>
      </c>
      <c r="G34" s="30" t="s">
        <v>63</v>
      </c>
      <c r="H34" s="30" t="s">
        <v>63</v>
      </c>
      <c r="I34" s="30" t="s">
        <v>63</v>
      </c>
      <c r="J34" s="30" t="s">
        <v>63</v>
      </c>
      <c r="K34" s="28">
        <f t="shared" si="0"/>
        <v>0.028801005822650737</v>
      </c>
      <c r="L34" s="28">
        <f t="shared" si="1"/>
        <v>69.67868230706871</v>
      </c>
      <c r="M34" s="34"/>
    </row>
    <row r="35" spans="2:13" ht="13.5" customHeight="1">
      <c r="B35" s="29" t="s">
        <v>7</v>
      </c>
      <c r="C35" s="30">
        <f>176760797.57</f>
        <v>176760797.57</v>
      </c>
      <c r="D35" s="30">
        <f>123322207.89</f>
        <v>123322207.89</v>
      </c>
      <c r="E35" s="30">
        <f>123554707.44</f>
        <v>123554707.44</v>
      </c>
      <c r="F35" s="30" t="s">
        <v>63</v>
      </c>
      <c r="G35" s="30" t="s">
        <v>63</v>
      </c>
      <c r="H35" s="30" t="s">
        <v>63</v>
      </c>
      <c r="I35" s="30" t="s">
        <v>63</v>
      </c>
      <c r="J35" s="30" t="s">
        <v>63</v>
      </c>
      <c r="K35" s="28">
        <f t="shared" si="0"/>
        <v>0.15377449534396215</v>
      </c>
      <c r="L35" s="28">
        <f t="shared" si="1"/>
        <v>69.7678498769856</v>
      </c>
      <c r="M35" s="34"/>
    </row>
    <row r="36" spans="2:13" ht="12.75">
      <c r="B36" s="29" t="s">
        <v>6</v>
      </c>
      <c r="C36" s="30">
        <f>15328258</f>
        <v>15328258</v>
      </c>
      <c r="D36" s="31">
        <f>4943279.25</f>
        <v>4943279.25</v>
      </c>
      <c r="E36" s="30">
        <f>4943279.25</f>
        <v>4943279.25</v>
      </c>
      <c r="F36" s="30" t="s">
        <v>63</v>
      </c>
      <c r="G36" s="30" t="s">
        <v>63</v>
      </c>
      <c r="H36" s="30" t="s">
        <v>63</v>
      </c>
      <c r="I36" s="30" t="s">
        <v>63</v>
      </c>
      <c r="J36" s="30" t="s">
        <v>63</v>
      </c>
      <c r="K36" s="28">
        <f t="shared" si="0"/>
        <v>0.006163936609787774</v>
      </c>
      <c r="L36" s="28">
        <f t="shared" si="1"/>
        <v>32.249452286098006</v>
      </c>
      <c r="M36" s="34"/>
    </row>
    <row r="37" spans="2:13" ht="33.75">
      <c r="B37" s="29" t="s">
        <v>10</v>
      </c>
      <c r="C37" s="30">
        <f>56277830.97</f>
        <v>56277830.97</v>
      </c>
      <c r="D37" s="30">
        <f>49058745.05</f>
        <v>49058745.05</v>
      </c>
      <c r="E37" s="30">
        <f>47176830.51</f>
        <v>47176830.51</v>
      </c>
      <c r="F37" s="30" t="s">
        <v>63</v>
      </c>
      <c r="G37" s="30" t="s">
        <v>63</v>
      </c>
      <c r="H37" s="30" t="s">
        <v>63</v>
      </c>
      <c r="I37" s="30" t="s">
        <v>63</v>
      </c>
      <c r="J37" s="30" t="s">
        <v>63</v>
      </c>
      <c r="K37" s="28">
        <f t="shared" si="0"/>
        <v>0.06117295409599604</v>
      </c>
      <c r="L37" s="28">
        <f t="shared" si="1"/>
        <v>87.17241621510205</v>
      </c>
      <c r="M37" s="34"/>
    </row>
    <row r="38" spans="2:13" ht="12.75">
      <c r="B38" s="29" t="s">
        <v>6</v>
      </c>
      <c r="C38" s="30">
        <f>0</f>
        <v>0</v>
      </c>
      <c r="D38" s="31">
        <f>0</f>
        <v>0</v>
      </c>
      <c r="E38" s="30">
        <f>0</f>
        <v>0</v>
      </c>
      <c r="F38" s="30" t="s">
        <v>63</v>
      </c>
      <c r="G38" s="30" t="s">
        <v>63</v>
      </c>
      <c r="H38" s="30" t="s">
        <v>63</v>
      </c>
      <c r="I38" s="30" t="s">
        <v>63</v>
      </c>
      <c r="J38" s="30" t="s">
        <v>63</v>
      </c>
      <c r="K38" s="28">
        <f t="shared" si="0"/>
        <v>0</v>
      </c>
      <c r="L38" s="28">
        <f t="shared" si="1"/>
      </c>
      <c r="M38" s="34"/>
    </row>
    <row r="39" spans="2:13" ht="13.5" customHeight="1">
      <c r="B39" s="35" t="s">
        <v>60</v>
      </c>
      <c r="C39" s="24">
        <f>C40+C42+C44+C46</f>
        <v>1007266081.3600001</v>
      </c>
      <c r="D39" s="24">
        <f>D40+D42+D44+D46</f>
        <v>710473954.42</v>
      </c>
      <c r="E39" s="24">
        <f>E40+E42+E44+E46</f>
        <v>628085865.53</v>
      </c>
      <c r="F39" s="32" t="s">
        <v>63</v>
      </c>
      <c r="G39" s="32" t="s">
        <v>63</v>
      </c>
      <c r="H39" s="32" t="s">
        <v>63</v>
      </c>
      <c r="I39" s="32" t="s">
        <v>63</v>
      </c>
      <c r="J39" s="32" t="s">
        <v>63</v>
      </c>
      <c r="K39" s="25">
        <f t="shared" si="0"/>
        <v>0.8859132159993042</v>
      </c>
      <c r="L39" s="25">
        <f t="shared" si="1"/>
        <v>70.53488324164807</v>
      </c>
      <c r="M39" s="34"/>
    </row>
    <row r="40" spans="2:13" ht="22.5">
      <c r="B40" s="29" t="s">
        <v>11</v>
      </c>
      <c r="C40" s="27">
        <f>450463947.27</f>
        <v>450463947.27</v>
      </c>
      <c r="D40" s="36">
        <f>334919401.08</f>
        <v>334919401.08</v>
      </c>
      <c r="E40" s="27">
        <f>334342157.4</f>
        <v>334342157.4</v>
      </c>
      <c r="F40" s="27" t="s">
        <v>63</v>
      </c>
      <c r="G40" s="27" t="s">
        <v>63</v>
      </c>
      <c r="H40" s="27" t="s">
        <v>63</v>
      </c>
      <c r="I40" s="27" t="s">
        <v>63</v>
      </c>
      <c r="J40" s="27" t="s">
        <v>63</v>
      </c>
      <c r="K40" s="28">
        <f t="shared" si="0"/>
        <v>0.4176219576600304</v>
      </c>
      <c r="L40" s="28">
        <f t="shared" si="1"/>
        <v>74.34987929883218</v>
      </c>
      <c r="M40" s="34"/>
    </row>
    <row r="41" spans="2:13" ht="12.75">
      <c r="B41" s="29" t="s">
        <v>6</v>
      </c>
      <c r="C41" s="30">
        <f>2491362.87</f>
        <v>2491362.87</v>
      </c>
      <c r="D41" s="30">
        <f>855003.57</f>
        <v>855003.57</v>
      </c>
      <c r="E41" s="30">
        <f>855003.57</f>
        <v>855003.57</v>
      </c>
      <c r="F41" s="30" t="s">
        <v>63</v>
      </c>
      <c r="G41" s="30" t="s">
        <v>63</v>
      </c>
      <c r="H41" s="30" t="s">
        <v>63</v>
      </c>
      <c r="I41" s="30" t="s">
        <v>63</v>
      </c>
      <c r="J41" s="30" t="s">
        <v>63</v>
      </c>
      <c r="K41" s="28">
        <f t="shared" si="0"/>
        <v>0.0010661319217647363</v>
      </c>
      <c r="L41" s="28">
        <f t="shared" si="1"/>
        <v>34.318708859942184</v>
      </c>
      <c r="M41" s="34"/>
    </row>
    <row r="42" spans="2:13" ht="24" customHeight="1">
      <c r="B42" s="29" t="s">
        <v>8</v>
      </c>
      <c r="C42" s="30">
        <f>209715125.95</f>
        <v>209715125.95</v>
      </c>
      <c r="D42" s="31">
        <f>38510987.87</f>
        <v>38510987.87</v>
      </c>
      <c r="E42" s="30">
        <f>38473047.87</f>
        <v>38473047.87</v>
      </c>
      <c r="F42" s="30" t="s">
        <v>63</v>
      </c>
      <c r="G42" s="30" t="s">
        <v>63</v>
      </c>
      <c r="H42" s="30" t="s">
        <v>63</v>
      </c>
      <c r="I42" s="30" t="s">
        <v>63</v>
      </c>
      <c r="J42" s="30" t="s">
        <v>63</v>
      </c>
      <c r="K42" s="28">
        <f t="shared" si="0"/>
        <v>0.048020610612072114</v>
      </c>
      <c r="L42" s="28">
        <f t="shared" si="1"/>
        <v>18.363476499631094</v>
      </c>
      <c r="M42" s="34"/>
    </row>
    <row r="43" spans="2:13" ht="12.75">
      <c r="B43" s="29" t="s">
        <v>6</v>
      </c>
      <c r="C43" s="30">
        <f>131412560.26</f>
        <v>131412560.26</v>
      </c>
      <c r="D43" s="30">
        <f>28029447.21</f>
        <v>28029447.21</v>
      </c>
      <c r="E43" s="30">
        <f>28034447.21</f>
        <v>28034447.21</v>
      </c>
      <c r="F43" s="30" t="s">
        <v>63</v>
      </c>
      <c r="G43" s="30" t="s">
        <v>63</v>
      </c>
      <c r="H43" s="30" t="s">
        <v>63</v>
      </c>
      <c r="I43" s="30" t="s">
        <v>63</v>
      </c>
      <c r="J43" s="30" t="s">
        <v>63</v>
      </c>
      <c r="K43" s="28">
        <f t="shared" si="0"/>
        <v>0.034950834673123675</v>
      </c>
      <c r="L43" s="28">
        <f t="shared" si="1"/>
        <v>21.32935174122145</v>
      </c>
      <c r="M43" s="34"/>
    </row>
    <row r="44" spans="2:13" ht="33.75">
      <c r="B44" s="29" t="s">
        <v>85</v>
      </c>
      <c r="C44" s="30">
        <f>74129104.7</f>
        <v>74129104.7</v>
      </c>
      <c r="D44" s="30">
        <f>42102646.27</f>
        <v>42102646.27</v>
      </c>
      <c r="E44" s="30">
        <f>41934194.76</f>
        <v>41934194.76</v>
      </c>
      <c r="F44" s="30" t="s">
        <v>63</v>
      </c>
      <c r="G44" s="30" t="s">
        <v>63</v>
      </c>
      <c r="H44" s="30" t="s">
        <v>63</v>
      </c>
      <c r="I44" s="30" t="s">
        <v>63</v>
      </c>
      <c r="J44" s="30" t="s">
        <v>63</v>
      </c>
      <c r="K44" s="28">
        <f t="shared" si="0"/>
        <v>0.05249916696747361</v>
      </c>
      <c r="L44" s="28">
        <f t="shared" si="1"/>
        <v>56.79637767161648</v>
      </c>
      <c r="M44" s="34"/>
    </row>
    <row r="45" spans="2:13" ht="12.75">
      <c r="B45" s="29" t="s">
        <v>6</v>
      </c>
      <c r="C45" s="30">
        <f>58255748.1</f>
        <v>58255748.1</v>
      </c>
      <c r="D45" s="30">
        <f>30995457.67</f>
        <v>30995457.67</v>
      </c>
      <c r="E45" s="30">
        <f>30829506.16</f>
        <v>30829506.16</v>
      </c>
      <c r="F45" s="30" t="s">
        <v>63</v>
      </c>
      <c r="G45" s="30" t="s">
        <v>63</v>
      </c>
      <c r="H45" s="30" t="s">
        <v>63</v>
      </c>
      <c r="I45" s="30" t="s">
        <v>63</v>
      </c>
      <c r="J45" s="30" t="s">
        <v>63</v>
      </c>
      <c r="K45" s="28">
        <f t="shared" si="0"/>
        <v>0.038649250144879084</v>
      </c>
      <c r="L45" s="28">
        <f t="shared" si="1"/>
        <v>53.20583578601405</v>
      </c>
      <c r="M45" s="34"/>
    </row>
    <row r="46" spans="2:13" ht="32.25" customHeight="1">
      <c r="B46" s="95" t="s">
        <v>110</v>
      </c>
      <c r="C46" s="32">
        <f>272957903.44</f>
        <v>272957903.44</v>
      </c>
      <c r="D46" s="32">
        <f>294940919.2</f>
        <v>294940919.2</v>
      </c>
      <c r="E46" s="32">
        <f>213336465.5</f>
        <v>213336465.5</v>
      </c>
      <c r="F46" s="32" t="s">
        <v>63</v>
      </c>
      <c r="G46" s="32" t="s">
        <v>63</v>
      </c>
      <c r="H46" s="32" t="s">
        <v>63</v>
      </c>
      <c r="I46" s="32" t="s">
        <v>63</v>
      </c>
      <c r="J46" s="32" t="s">
        <v>63</v>
      </c>
      <c r="K46" s="96">
        <f t="shared" si="0"/>
        <v>0.36777148075972804</v>
      </c>
      <c r="L46" s="96">
        <f t="shared" si="1"/>
        <v>108.05362859362384</v>
      </c>
      <c r="M46" s="34"/>
    </row>
    <row r="47" spans="2:13" ht="12.75">
      <c r="B47" s="29" t="s">
        <v>111</v>
      </c>
      <c r="C47" s="30">
        <f>218521597.21</f>
        <v>218521597.21</v>
      </c>
      <c r="D47" s="30">
        <f>264530604.75</f>
        <v>264530604.75</v>
      </c>
      <c r="E47" s="30">
        <f>183076522.75</f>
        <v>183076522.75</v>
      </c>
      <c r="F47" s="30" t="s">
        <v>63</v>
      </c>
      <c r="G47" s="30" t="s">
        <v>63</v>
      </c>
      <c r="H47" s="30" t="s">
        <v>63</v>
      </c>
      <c r="I47" s="30" t="s">
        <v>63</v>
      </c>
      <c r="J47" s="30" t="s">
        <v>63</v>
      </c>
      <c r="K47" s="28">
        <f t="shared" si="0"/>
        <v>0.3298518648380677</v>
      </c>
      <c r="L47" s="28">
        <f t="shared" si="1"/>
        <v>121.05467291445119</v>
      </c>
      <c r="M47" s="34"/>
    </row>
    <row r="48" spans="2:13" ht="13.5" customHeight="1">
      <c r="B48" s="23" t="s">
        <v>94</v>
      </c>
      <c r="C48" s="24">
        <f>467468388.11</f>
        <v>467468388.11</v>
      </c>
      <c r="D48" s="24">
        <f>362309700.84</f>
        <v>362309700.84</v>
      </c>
      <c r="E48" s="24">
        <f>362059262.57</f>
        <v>362059262.57</v>
      </c>
      <c r="F48" s="32" t="s">
        <v>63</v>
      </c>
      <c r="G48" s="32" t="s">
        <v>63</v>
      </c>
      <c r="H48" s="32" t="s">
        <v>63</v>
      </c>
      <c r="I48" s="32" t="s">
        <v>63</v>
      </c>
      <c r="J48" s="32" t="s">
        <v>63</v>
      </c>
      <c r="K48" s="25">
        <f t="shared" si="0"/>
        <v>0.4517758184688701</v>
      </c>
      <c r="L48" s="25">
        <f t="shared" si="1"/>
        <v>77.50464203683114</v>
      </c>
      <c r="M48" s="34"/>
    </row>
    <row r="49" spans="2:13" ht="13.5" customHeight="1">
      <c r="B49" s="29" t="s">
        <v>95</v>
      </c>
      <c r="C49" s="30">
        <f>410677620.1</f>
        <v>410677620.1</v>
      </c>
      <c r="D49" s="30">
        <f>331045662.8</f>
        <v>331045662.8</v>
      </c>
      <c r="E49" s="30">
        <f>330939462.8</f>
        <v>330939462.8</v>
      </c>
      <c r="F49" s="30" t="s">
        <v>63</v>
      </c>
      <c r="G49" s="30" t="s">
        <v>63</v>
      </c>
      <c r="H49" s="30" t="s">
        <v>63</v>
      </c>
      <c r="I49" s="30" t="s">
        <v>63</v>
      </c>
      <c r="J49" s="30" t="s">
        <v>63</v>
      </c>
      <c r="K49" s="28">
        <f t="shared" si="0"/>
        <v>0.4127916666743799</v>
      </c>
      <c r="L49" s="28">
        <f t="shared" si="1"/>
        <v>80.60961849330634</v>
      </c>
      <c r="M49" s="34"/>
    </row>
    <row r="50" spans="2:13" ht="13.5" customHeight="1">
      <c r="B50" s="23" t="s">
        <v>96</v>
      </c>
      <c r="C50" s="32">
        <f>5639483454.62</f>
        <v>5639483454.62</v>
      </c>
      <c r="D50" s="32">
        <f>2389861768.14</f>
        <v>2389861768.14</v>
      </c>
      <c r="E50" s="32">
        <f>2389066815.43</f>
        <v>2389066815.43</v>
      </c>
      <c r="F50" s="32" t="s">
        <v>63</v>
      </c>
      <c r="G50" s="32" t="s">
        <v>63</v>
      </c>
      <c r="H50" s="32" t="s">
        <v>63</v>
      </c>
      <c r="I50" s="32" t="s">
        <v>63</v>
      </c>
      <c r="J50" s="32" t="s">
        <v>63</v>
      </c>
      <c r="K50" s="38">
        <f t="shared" si="0"/>
        <v>2.9799968199187385</v>
      </c>
      <c r="L50" s="38">
        <f t="shared" si="1"/>
        <v>42.37731677680813</v>
      </c>
      <c r="M50" s="34"/>
    </row>
    <row r="51" spans="2:13" ht="13.5" customHeight="1">
      <c r="B51" s="39" t="s">
        <v>97</v>
      </c>
      <c r="C51" s="40">
        <f>4930155578.42</f>
        <v>4930155578.42</v>
      </c>
      <c r="D51" s="40">
        <f>1970421320.04</f>
        <v>1970421320.04</v>
      </c>
      <c r="E51" s="40">
        <f>1970955296.11</f>
        <v>1970955296.11</v>
      </c>
      <c r="F51" s="40" t="s">
        <v>63</v>
      </c>
      <c r="G51" s="40" t="s">
        <v>63</v>
      </c>
      <c r="H51" s="40" t="s">
        <v>63</v>
      </c>
      <c r="I51" s="40" t="s">
        <v>63</v>
      </c>
      <c r="J51" s="40" t="s">
        <v>63</v>
      </c>
      <c r="K51" s="41">
        <f t="shared" si="0"/>
        <v>2.456982803733151</v>
      </c>
      <c r="L51" s="41">
        <f t="shared" si="1"/>
        <v>39.96671684489669</v>
      </c>
      <c r="M51" s="34"/>
    </row>
    <row r="52" spans="2:13" s="42" customFormat="1" ht="25.5" customHeight="1">
      <c r="B52" s="23" t="s">
        <v>70</v>
      </c>
      <c r="C52" s="24">
        <f>C53+C54+C55+C59</f>
        <v>19505561460</v>
      </c>
      <c r="D52" s="24">
        <f>D53+D54+D55+D59</f>
        <v>16388250212</v>
      </c>
      <c r="E52" s="24">
        <f>E53+E54+E55+E59</f>
        <v>15016880176</v>
      </c>
      <c r="F52" s="32" t="s">
        <v>63</v>
      </c>
      <c r="G52" s="32" t="s">
        <v>63</v>
      </c>
      <c r="H52" s="32" t="s">
        <v>63</v>
      </c>
      <c r="I52" s="32" t="s">
        <v>63</v>
      </c>
      <c r="J52" s="32" t="s">
        <v>63</v>
      </c>
      <c r="K52" s="25">
        <f t="shared" si="0"/>
        <v>20.43504530967152</v>
      </c>
      <c r="L52" s="25">
        <f t="shared" si="1"/>
        <v>84.01834648855066</v>
      </c>
      <c r="M52" s="43"/>
    </row>
    <row r="53" spans="2:13" ht="13.5" customHeight="1">
      <c r="B53" s="29" t="s">
        <v>44</v>
      </c>
      <c r="C53" s="30">
        <f>17961483432</f>
        <v>17961483432</v>
      </c>
      <c r="D53" s="30">
        <f>15226015279</f>
        <v>15226015279</v>
      </c>
      <c r="E53" s="30">
        <f>13854645243</f>
        <v>13854645243</v>
      </c>
      <c r="F53" s="30" t="s">
        <v>63</v>
      </c>
      <c r="G53" s="30" t="s">
        <v>63</v>
      </c>
      <c r="H53" s="30" t="s">
        <v>63</v>
      </c>
      <c r="I53" s="30" t="s">
        <v>63</v>
      </c>
      <c r="J53" s="30" t="s">
        <v>63</v>
      </c>
      <c r="K53" s="28">
        <f t="shared" si="0"/>
        <v>18.985816550706925</v>
      </c>
      <c r="L53" s="28">
        <f t="shared" si="1"/>
        <v>84.77036619299207</v>
      </c>
      <c r="M53" s="34"/>
    </row>
    <row r="54" spans="2:13" s="42" customFormat="1" ht="12.75">
      <c r="B54" s="29" t="s">
        <v>40</v>
      </c>
      <c r="C54" s="27">
        <f>157995398</f>
        <v>157995398</v>
      </c>
      <c r="D54" s="36">
        <f>124981693</f>
        <v>124981693</v>
      </c>
      <c r="E54" s="27">
        <f>124981693</f>
        <v>124981693</v>
      </c>
      <c r="F54" s="27" t="s">
        <v>63</v>
      </c>
      <c r="G54" s="27" t="s">
        <v>63</v>
      </c>
      <c r="H54" s="27" t="s">
        <v>63</v>
      </c>
      <c r="I54" s="27" t="s">
        <v>63</v>
      </c>
      <c r="J54" s="27" t="s">
        <v>63</v>
      </c>
      <c r="K54" s="28">
        <f t="shared" si="0"/>
        <v>0.155843761615522</v>
      </c>
      <c r="L54" s="28">
        <f t="shared" si="1"/>
        <v>79.1046413896182</v>
      </c>
      <c r="M54" s="43"/>
    </row>
    <row r="55" spans="2:13" s="42" customFormat="1" ht="25.5" customHeight="1">
      <c r="B55" s="23" t="s">
        <v>61</v>
      </c>
      <c r="C55" s="24">
        <f>C56+C57+C58</f>
        <v>341393611</v>
      </c>
      <c r="D55" s="24">
        <f>D56+D57+D58</f>
        <v>253736460</v>
      </c>
      <c r="E55" s="24">
        <f>E56+E57+E58</f>
        <v>253736460</v>
      </c>
      <c r="F55" s="32" t="s">
        <v>63</v>
      </c>
      <c r="G55" s="32" t="s">
        <v>63</v>
      </c>
      <c r="H55" s="32" t="s">
        <v>63</v>
      </c>
      <c r="I55" s="32" t="s">
        <v>63</v>
      </c>
      <c r="J55" s="32" t="s">
        <v>63</v>
      </c>
      <c r="K55" s="25">
        <f t="shared" si="0"/>
        <v>0.3163922926328613</v>
      </c>
      <c r="L55" s="25">
        <f t="shared" si="1"/>
        <v>74.3237283371422</v>
      </c>
      <c r="M55" s="43"/>
    </row>
    <row r="56" spans="2:13" ht="13.5" customHeight="1">
      <c r="B56" s="29" t="s">
        <v>45</v>
      </c>
      <c r="C56" s="27">
        <f>237866748</f>
        <v>237866748</v>
      </c>
      <c r="D56" s="36">
        <f>178400052</f>
        <v>178400052</v>
      </c>
      <c r="E56" s="27">
        <f>178400052</f>
        <v>178400052</v>
      </c>
      <c r="F56" s="27" t="s">
        <v>63</v>
      </c>
      <c r="G56" s="27" t="s">
        <v>63</v>
      </c>
      <c r="H56" s="27" t="s">
        <v>63</v>
      </c>
      <c r="I56" s="27" t="s">
        <v>63</v>
      </c>
      <c r="J56" s="27" t="s">
        <v>63</v>
      </c>
      <c r="K56" s="28">
        <f t="shared" si="0"/>
        <v>0.22245286096488331</v>
      </c>
      <c r="L56" s="28">
        <f t="shared" si="1"/>
        <v>74.99999621636901</v>
      </c>
      <c r="M56" s="34"/>
    </row>
    <row r="57" spans="2:13" ht="13.5" customHeight="1">
      <c r="B57" s="29" t="s">
        <v>43</v>
      </c>
      <c r="C57" s="30">
        <f>3078384</f>
        <v>3078384</v>
      </c>
      <c r="D57" s="30">
        <f>0</f>
        <v>0</v>
      </c>
      <c r="E57" s="30">
        <f>0</f>
        <v>0</v>
      </c>
      <c r="F57" s="30" t="s">
        <v>63</v>
      </c>
      <c r="G57" s="30" t="s">
        <v>63</v>
      </c>
      <c r="H57" s="30" t="s">
        <v>63</v>
      </c>
      <c r="I57" s="30" t="s">
        <v>63</v>
      </c>
      <c r="J57" s="30" t="s">
        <v>63</v>
      </c>
      <c r="K57" s="28">
        <f t="shared" si="0"/>
        <v>0</v>
      </c>
      <c r="L57" s="28">
        <f t="shared" si="1"/>
        <v>0</v>
      </c>
      <c r="M57" s="34"/>
    </row>
    <row r="58" spans="2:13" ht="13.5" customHeight="1">
      <c r="B58" s="29" t="s">
        <v>42</v>
      </c>
      <c r="C58" s="27">
        <f>100448479</f>
        <v>100448479</v>
      </c>
      <c r="D58" s="36">
        <f>75336408</f>
        <v>75336408</v>
      </c>
      <c r="E58" s="27">
        <f>75336408</f>
        <v>75336408</v>
      </c>
      <c r="F58" s="27" t="s">
        <v>63</v>
      </c>
      <c r="G58" s="27" t="s">
        <v>63</v>
      </c>
      <c r="H58" s="27" t="s">
        <v>63</v>
      </c>
      <c r="I58" s="27" t="s">
        <v>63</v>
      </c>
      <c r="J58" s="27" t="s">
        <v>63</v>
      </c>
      <c r="K58" s="28">
        <f t="shared" si="0"/>
        <v>0.093939431667978</v>
      </c>
      <c r="L58" s="28">
        <f t="shared" si="1"/>
        <v>75.00004853234263</v>
      </c>
      <c r="M58" s="34"/>
    </row>
    <row r="59" spans="2:13" s="42" customFormat="1" ht="25.5" customHeight="1">
      <c r="B59" s="23" t="s">
        <v>62</v>
      </c>
      <c r="C59" s="24">
        <f>C60+C61</f>
        <v>1044689019</v>
      </c>
      <c r="D59" s="24">
        <f>D60+D61</f>
        <v>783516780</v>
      </c>
      <c r="E59" s="24">
        <f>E60+E61</f>
        <v>783516780</v>
      </c>
      <c r="F59" s="32" t="s">
        <v>63</v>
      </c>
      <c r="G59" s="32" t="s">
        <v>63</v>
      </c>
      <c r="H59" s="32" t="s">
        <v>63</v>
      </c>
      <c r="I59" s="32" t="s">
        <v>63</v>
      </c>
      <c r="J59" s="32" t="s">
        <v>63</v>
      </c>
      <c r="K59" s="25">
        <f t="shared" si="0"/>
        <v>0.976992704716213</v>
      </c>
      <c r="L59" s="25">
        <f t="shared" si="1"/>
        <v>75.00000150762568</v>
      </c>
      <c r="M59" s="43"/>
    </row>
    <row r="60" spans="2:13" ht="13.5" customHeight="1">
      <c r="B60" s="29" t="s">
        <v>42</v>
      </c>
      <c r="C60" s="27">
        <f>912654608</f>
        <v>912654608</v>
      </c>
      <c r="D60" s="36">
        <f>684490968</f>
        <v>684490968</v>
      </c>
      <c r="E60" s="27">
        <f>684490968</f>
        <v>684490968</v>
      </c>
      <c r="F60" s="27" t="s">
        <v>63</v>
      </c>
      <c r="G60" s="27" t="s">
        <v>63</v>
      </c>
      <c r="H60" s="27" t="s">
        <v>63</v>
      </c>
      <c r="I60" s="27" t="s">
        <v>63</v>
      </c>
      <c r="J60" s="27" t="s">
        <v>63</v>
      </c>
      <c r="K60" s="28">
        <f t="shared" si="0"/>
        <v>0.8535141802325393</v>
      </c>
      <c r="L60" s="28">
        <f t="shared" si="1"/>
        <v>75.00000131484572</v>
      </c>
      <c r="M60" s="34"/>
    </row>
    <row r="61" spans="2:13" ht="13.5" customHeight="1">
      <c r="B61" s="29" t="s">
        <v>45</v>
      </c>
      <c r="C61" s="30">
        <f>132034411</f>
        <v>132034411</v>
      </c>
      <c r="D61" s="30">
        <f>99025812</f>
        <v>99025812</v>
      </c>
      <c r="E61" s="30">
        <f>99025812</f>
        <v>99025812</v>
      </c>
      <c r="F61" s="30" t="s">
        <v>63</v>
      </c>
      <c r="G61" s="30" t="s">
        <v>63</v>
      </c>
      <c r="H61" s="30" t="s">
        <v>63</v>
      </c>
      <c r="I61" s="30" t="s">
        <v>63</v>
      </c>
      <c r="J61" s="30" t="s">
        <v>63</v>
      </c>
      <c r="K61" s="28">
        <f t="shared" si="0"/>
        <v>0.12347852448367376</v>
      </c>
      <c r="L61" s="28">
        <f t="shared" si="1"/>
        <v>75.00000284016869</v>
      </c>
      <c r="M61" s="34"/>
    </row>
    <row r="62" spans="2:13" ht="11.25" customHeight="1">
      <c r="B62" s="44"/>
      <c r="C62" s="45"/>
      <c r="D62" s="45"/>
      <c r="E62" s="45"/>
      <c r="F62" s="45"/>
      <c r="G62" s="45"/>
      <c r="H62" s="45"/>
      <c r="I62" s="45"/>
      <c r="J62" s="45"/>
      <c r="K62" s="33"/>
      <c r="L62" s="33"/>
      <c r="M62" s="34"/>
    </row>
    <row r="63" spans="2:13" ht="13.5" customHeight="1">
      <c r="B63" s="23" t="s">
        <v>5</v>
      </c>
      <c r="C63" s="32">
        <f aca="true" t="shared" si="4" ref="C63:J63">+C5</f>
        <v>104567569413.27</v>
      </c>
      <c r="D63" s="32">
        <f t="shared" si="4"/>
        <v>80196789210.17</v>
      </c>
      <c r="E63" s="32">
        <f t="shared" si="4"/>
        <v>77123033518.59</v>
      </c>
      <c r="F63" s="32">
        <f t="shared" si="4"/>
        <v>408745870.84</v>
      </c>
      <c r="G63" s="32">
        <f t="shared" si="4"/>
        <v>119951773.05</v>
      </c>
      <c r="H63" s="32">
        <f t="shared" si="4"/>
        <v>29444996.3</v>
      </c>
      <c r="I63" s="32">
        <f t="shared" si="4"/>
        <v>101067073.76</v>
      </c>
      <c r="J63" s="32">
        <f t="shared" si="4"/>
        <v>1415596.85</v>
      </c>
      <c r="K63" s="25">
        <f t="shared" si="0"/>
        <v>100</v>
      </c>
      <c r="L63" s="25">
        <f t="shared" si="1"/>
        <v>76.69374898943835</v>
      </c>
      <c r="M63" s="34"/>
    </row>
    <row r="64" spans="2:13" ht="12.75">
      <c r="B64" s="29" t="s">
        <v>78</v>
      </c>
      <c r="C64" s="30">
        <f>9279166058.04</f>
        <v>9279166058.04</v>
      </c>
      <c r="D64" s="30">
        <f>4920380830.71</f>
        <v>4920380830.71</v>
      </c>
      <c r="E64" s="30">
        <f>4843207922.11</f>
        <v>4843207922.11</v>
      </c>
      <c r="F64" s="30">
        <f>0</f>
        <v>0</v>
      </c>
      <c r="G64" s="30">
        <f>0</f>
        <v>0</v>
      </c>
      <c r="H64" s="30">
        <f>0</f>
        <v>0</v>
      </c>
      <c r="I64" s="30">
        <f>0</f>
        <v>0</v>
      </c>
      <c r="J64" s="30">
        <f>0</f>
        <v>0</v>
      </c>
      <c r="K64" s="28">
        <f t="shared" si="0"/>
        <v>6.135383821683015</v>
      </c>
      <c r="L64" s="28">
        <f t="shared" si="1"/>
        <v>53.026110319975366</v>
      </c>
      <c r="M64" s="34"/>
    </row>
    <row r="65" spans="1:13" s="42" customFormat="1" ht="12.75">
      <c r="A65" s="9"/>
      <c r="B65" s="29" t="s">
        <v>79</v>
      </c>
      <c r="C65" s="30">
        <f>C63-C64</f>
        <v>95288403355.23001</v>
      </c>
      <c r="D65" s="30">
        <f aca="true" t="shared" si="5" ref="D65:J65">D63-D64</f>
        <v>75276408379.45999</v>
      </c>
      <c r="E65" s="30">
        <f t="shared" si="5"/>
        <v>72279825596.48</v>
      </c>
      <c r="F65" s="30">
        <f t="shared" si="5"/>
        <v>408745870.84</v>
      </c>
      <c r="G65" s="30">
        <f t="shared" si="5"/>
        <v>119951773.05</v>
      </c>
      <c r="H65" s="30">
        <f t="shared" si="5"/>
        <v>29444996.3</v>
      </c>
      <c r="I65" s="30">
        <f t="shared" si="5"/>
        <v>101067073.76</v>
      </c>
      <c r="J65" s="30">
        <f t="shared" si="5"/>
        <v>1415596.85</v>
      </c>
      <c r="K65" s="28">
        <f t="shared" si="0"/>
        <v>93.86461617831698</v>
      </c>
      <c r="L65" s="28">
        <f t="shared" si="1"/>
        <v>78.99849900814647</v>
      </c>
      <c r="M65" s="46"/>
    </row>
    <row r="66" spans="2:13" ht="18">
      <c r="B66" s="98" t="s">
        <v>112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2:13" s="42" customFormat="1" ht="6" customHeight="1">
      <c r="B67" s="47"/>
      <c r="C67" s="48"/>
      <c r="D67" s="48"/>
      <c r="E67" s="48"/>
      <c r="F67" s="49"/>
      <c r="G67" s="49"/>
      <c r="H67" s="49"/>
      <c r="I67" s="49"/>
      <c r="J67" s="49"/>
      <c r="K67" s="1"/>
      <c r="L67" s="1"/>
      <c r="M67" s="50"/>
    </row>
    <row r="68" spans="2:27" ht="29.25" customHeight="1">
      <c r="B68" s="101" t="s">
        <v>0</v>
      </c>
      <c r="C68" s="100" t="s">
        <v>51</v>
      </c>
      <c r="D68" s="100" t="s">
        <v>52</v>
      </c>
      <c r="E68" s="100" t="s">
        <v>53</v>
      </c>
      <c r="F68" s="100" t="s">
        <v>12</v>
      </c>
      <c r="G68" s="100"/>
      <c r="H68" s="100"/>
      <c r="I68" s="100" t="s">
        <v>93</v>
      </c>
      <c r="J68" s="100"/>
      <c r="K68" s="100" t="s">
        <v>2</v>
      </c>
      <c r="L68" s="103" t="s">
        <v>31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2:27" ht="18" customHeight="1">
      <c r="B69" s="101"/>
      <c r="C69" s="100"/>
      <c r="D69" s="105"/>
      <c r="E69" s="100"/>
      <c r="F69" s="109" t="s">
        <v>54</v>
      </c>
      <c r="G69" s="104" t="s">
        <v>30</v>
      </c>
      <c r="H69" s="105"/>
      <c r="I69" s="100"/>
      <c r="J69" s="100"/>
      <c r="K69" s="100"/>
      <c r="L69" s="103"/>
      <c r="M69" s="2"/>
      <c r="N69" s="3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2:27" ht="36" customHeight="1">
      <c r="B70" s="101"/>
      <c r="C70" s="100"/>
      <c r="D70" s="105"/>
      <c r="E70" s="100"/>
      <c r="F70" s="105"/>
      <c r="G70" s="7" t="s">
        <v>49</v>
      </c>
      <c r="H70" s="7" t="s">
        <v>50</v>
      </c>
      <c r="I70" s="100"/>
      <c r="J70" s="100"/>
      <c r="K70" s="100"/>
      <c r="L70" s="103"/>
      <c r="M70" s="2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2:27" ht="13.5" customHeight="1">
      <c r="B71" s="101"/>
      <c r="C71" s="124" t="s">
        <v>84</v>
      </c>
      <c r="D71" s="124"/>
      <c r="E71" s="124"/>
      <c r="F71" s="124"/>
      <c r="G71" s="124"/>
      <c r="H71" s="124"/>
      <c r="I71" s="124"/>
      <c r="J71" s="124"/>
      <c r="K71" s="124" t="s">
        <v>4</v>
      </c>
      <c r="L71" s="124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2:27" ht="11.25" customHeight="1">
      <c r="B72" s="6">
        <v>1</v>
      </c>
      <c r="C72" s="8">
        <v>2</v>
      </c>
      <c r="D72" s="8">
        <v>3</v>
      </c>
      <c r="E72" s="8">
        <v>4</v>
      </c>
      <c r="F72" s="6">
        <v>5</v>
      </c>
      <c r="G72" s="6">
        <v>6</v>
      </c>
      <c r="H72" s="8">
        <v>7</v>
      </c>
      <c r="I72" s="105">
        <v>8</v>
      </c>
      <c r="J72" s="105"/>
      <c r="K72" s="6">
        <v>9</v>
      </c>
      <c r="L72" s="8">
        <v>10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2:12" ht="25.5" customHeight="1">
      <c r="B73" s="23" t="s">
        <v>71</v>
      </c>
      <c r="C73" s="52">
        <f>115075718799.59</f>
        <v>115075718799.59</v>
      </c>
      <c r="D73" s="52">
        <f>101000077279.34</f>
        <v>101000077279.34</v>
      </c>
      <c r="E73" s="52">
        <f>75221413014.03</f>
        <v>75221413014.03</v>
      </c>
      <c r="F73" s="52">
        <f>3171660613.43</f>
        <v>3171660613.43</v>
      </c>
      <c r="G73" s="52">
        <f>1144901.87</f>
        <v>1144901.87</v>
      </c>
      <c r="H73" s="52">
        <f>9910764.98</f>
        <v>9910764.98</v>
      </c>
      <c r="I73" s="106">
        <f>0</f>
        <v>0</v>
      </c>
      <c r="J73" s="106"/>
      <c r="K73" s="53">
        <f aca="true" t="shared" si="6" ref="K73:K82">IF($E$73=0,"",100*$E73/$E$73)</f>
        <v>100</v>
      </c>
      <c r="L73" s="53">
        <f aca="true" t="shared" si="7" ref="L73:L82">IF(C73=0,"",100*E73/C73)</f>
        <v>65.36688521149433</v>
      </c>
    </row>
    <row r="74" spans="2:12" ht="12.75">
      <c r="B74" s="23" t="s">
        <v>14</v>
      </c>
      <c r="C74" s="54">
        <f>21855397185.6</f>
        <v>21855397185.6</v>
      </c>
      <c r="D74" s="54">
        <f>16139239274.54</f>
        <v>16139239274.54</v>
      </c>
      <c r="E74" s="54">
        <f>8370415474.38999</f>
        <v>8370415474.38999</v>
      </c>
      <c r="F74" s="54">
        <f>903920398.28</f>
        <v>903920398.28</v>
      </c>
      <c r="G74" s="54">
        <f>981509.62</f>
        <v>981509.62</v>
      </c>
      <c r="H74" s="54">
        <f>8074110.26</f>
        <v>8074110.26</v>
      </c>
      <c r="I74" s="102">
        <f>0</f>
        <v>0</v>
      </c>
      <c r="J74" s="102"/>
      <c r="K74" s="53">
        <f t="shared" si="6"/>
        <v>11.127703055549851</v>
      </c>
      <c r="L74" s="53">
        <f t="shared" si="7"/>
        <v>38.299077355158104</v>
      </c>
    </row>
    <row r="75" spans="2:12" ht="12.75">
      <c r="B75" s="29" t="s">
        <v>13</v>
      </c>
      <c r="C75" s="30">
        <f>20134879507.69</f>
        <v>20134879507.69</v>
      </c>
      <c r="D75" s="30">
        <f>14999570484.23</f>
        <v>14999570484.23</v>
      </c>
      <c r="E75" s="30">
        <f>7402774098.22999</f>
        <v>7402774098.22999</v>
      </c>
      <c r="F75" s="30">
        <f>792304348.45</f>
        <v>792304348.45</v>
      </c>
      <c r="G75" s="30">
        <f>981509.62</f>
        <v>981509.62</v>
      </c>
      <c r="H75" s="30">
        <f>8074110.26</f>
        <v>8074110.26</v>
      </c>
      <c r="I75" s="110">
        <f>0</f>
        <v>0</v>
      </c>
      <c r="J75" s="110"/>
      <c r="K75" s="56">
        <f t="shared" si="6"/>
        <v>9.841312203014924</v>
      </c>
      <c r="L75" s="56">
        <f t="shared" si="7"/>
        <v>36.765922018071635</v>
      </c>
    </row>
    <row r="76" spans="2:12" ht="25.5" customHeight="1">
      <c r="B76" s="23" t="s">
        <v>72</v>
      </c>
      <c r="C76" s="54">
        <f aca="true" t="shared" si="8" ref="C76:I76">C73-C74</f>
        <v>93220321613.98999</v>
      </c>
      <c r="D76" s="54">
        <f t="shared" si="8"/>
        <v>84860838004.79999</v>
      </c>
      <c r="E76" s="54">
        <f t="shared" si="8"/>
        <v>66850997539.64001</v>
      </c>
      <c r="F76" s="54">
        <f t="shared" si="8"/>
        <v>2267740215.1499996</v>
      </c>
      <c r="G76" s="54">
        <f t="shared" si="8"/>
        <v>163392.25000000012</v>
      </c>
      <c r="H76" s="54">
        <f t="shared" si="8"/>
        <v>1836654.7200000007</v>
      </c>
      <c r="I76" s="102">
        <f t="shared" si="8"/>
        <v>0</v>
      </c>
      <c r="J76" s="102"/>
      <c r="K76" s="53">
        <f t="shared" si="6"/>
        <v>88.87229694445016</v>
      </c>
      <c r="L76" s="53">
        <f t="shared" si="7"/>
        <v>71.71290163153373</v>
      </c>
    </row>
    <row r="77" spans="2:12" ht="24" customHeight="1">
      <c r="B77" s="29" t="s">
        <v>108</v>
      </c>
      <c r="C77" s="30">
        <f>34027578339.98</f>
        <v>34027578339.98</v>
      </c>
      <c r="D77" s="30">
        <f>32491770300.77</f>
        <v>32491770300.77</v>
      </c>
      <c r="E77" s="30">
        <f>25598300533.7</f>
        <v>25598300533.7</v>
      </c>
      <c r="F77" s="30">
        <f>974304813.409999</f>
        <v>974304813.409999</v>
      </c>
      <c r="G77" s="30">
        <f>7484.31</f>
        <v>7484.31</v>
      </c>
      <c r="H77" s="30">
        <f>2.06</f>
        <v>2.06</v>
      </c>
      <c r="I77" s="110">
        <f>0</f>
        <v>0</v>
      </c>
      <c r="J77" s="110"/>
      <c r="K77" s="56">
        <f t="shared" si="6"/>
        <v>34.03060313281473</v>
      </c>
      <c r="L77" s="56">
        <f t="shared" si="7"/>
        <v>75.22809962536712</v>
      </c>
    </row>
    <row r="78" spans="2:12" ht="13.5" customHeight="1">
      <c r="B78" s="29" t="s">
        <v>48</v>
      </c>
      <c r="C78" s="57">
        <f>10093045049.4</f>
        <v>10093045049.4</v>
      </c>
      <c r="D78" s="57">
        <f>9185154952.84</f>
        <v>9185154952.84</v>
      </c>
      <c r="E78" s="57">
        <f>7819979928.61001</f>
        <v>7819979928.61001</v>
      </c>
      <c r="F78" s="57">
        <f>56758191.47</f>
        <v>56758191.47</v>
      </c>
      <c r="G78" s="57">
        <f>0</f>
        <v>0</v>
      </c>
      <c r="H78" s="57">
        <f>0</f>
        <v>0</v>
      </c>
      <c r="I78" s="97">
        <f>0</f>
        <v>0</v>
      </c>
      <c r="J78" s="97"/>
      <c r="K78" s="56">
        <f t="shared" si="6"/>
        <v>10.395949258692413</v>
      </c>
      <c r="L78" s="56">
        <f t="shared" si="7"/>
        <v>77.4788965107699</v>
      </c>
    </row>
    <row r="79" spans="2:12" ht="12.75">
      <c r="B79" s="29" t="s">
        <v>47</v>
      </c>
      <c r="C79" s="30">
        <f>900628621.29</f>
        <v>900628621.29</v>
      </c>
      <c r="D79" s="30">
        <f>612411760.75</f>
        <v>612411760.75</v>
      </c>
      <c r="E79" s="30">
        <f>384168827.46</f>
        <v>384168827.46</v>
      </c>
      <c r="F79" s="30">
        <f>10371100.21</f>
        <v>10371100.21</v>
      </c>
      <c r="G79" s="30">
        <f>0</f>
        <v>0</v>
      </c>
      <c r="H79" s="30">
        <f>0</f>
        <v>0</v>
      </c>
      <c r="I79" s="110">
        <f>0</f>
        <v>0</v>
      </c>
      <c r="J79" s="110"/>
      <c r="K79" s="56">
        <f t="shared" si="6"/>
        <v>0.5107173769633208</v>
      </c>
      <c r="L79" s="56">
        <f t="shared" si="7"/>
        <v>42.65563167532277</v>
      </c>
    </row>
    <row r="80" spans="2:12" ht="22.5" customHeight="1">
      <c r="B80" s="29" t="s">
        <v>75</v>
      </c>
      <c r="C80" s="57">
        <f>110470700.41</f>
        <v>110470700.41</v>
      </c>
      <c r="D80" s="57">
        <f>20005539.9</f>
        <v>20005539.9</v>
      </c>
      <c r="E80" s="57">
        <f>8103831.94</f>
        <v>8103831.94</v>
      </c>
      <c r="F80" s="57">
        <f>165124.71</f>
        <v>165124.71</v>
      </c>
      <c r="G80" s="57">
        <f>0</f>
        <v>0</v>
      </c>
      <c r="H80" s="57">
        <f>0</f>
        <v>0</v>
      </c>
      <c r="I80" s="97">
        <f>0</f>
        <v>0</v>
      </c>
      <c r="J80" s="97"/>
      <c r="K80" s="56">
        <f t="shared" si="6"/>
        <v>0.010773304588799076</v>
      </c>
      <c r="L80" s="56">
        <f t="shared" si="7"/>
        <v>7.3357296639955285</v>
      </c>
    </row>
    <row r="81" spans="2:12" ht="22.5" customHeight="1">
      <c r="B81" s="29" t="s">
        <v>77</v>
      </c>
      <c r="C81" s="57">
        <f>16648782858.96</f>
        <v>16648782858.96</v>
      </c>
      <c r="D81" s="57">
        <f>15589269877.43</f>
        <v>15589269877.43</v>
      </c>
      <c r="E81" s="57">
        <f>12805835834.32</f>
        <v>12805835834.32</v>
      </c>
      <c r="F81" s="57">
        <f>227362939.38</f>
        <v>227362939.38</v>
      </c>
      <c r="G81" s="57">
        <f>36470.84</f>
        <v>36470.84</v>
      </c>
      <c r="H81" s="57">
        <f>21664.53</f>
        <v>21664.53</v>
      </c>
      <c r="I81" s="107">
        <f>0</f>
        <v>0</v>
      </c>
      <c r="J81" s="108"/>
      <c r="K81" s="56">
        <f t="shared" si="6"/>
        <v>17.024189417887573</v>
      </c>
      <c r="L81" s="56">
        <f t="shared" si="7"/>
        <v>76.91754972603411</v>
      </c>
    </row>
    <row r="82" spans="2:12" ht="12.75">
      <c r="B82" s="29" t="s">
        <v>46</v>
      </c>
      <c r="C82" s="30">
        <f aca="true" t="shared" si="9" ref="C82:I82">C76-C77-C78-C79-C80-C81</f>
        <v>31439816043.94999</v>
      </c>
      <c r="D82" s="30">
        <f t="shared" si="9"/>
        <v>26962225573.109985</v>
      </c>
      <c r="E82" s="30">
        <f t="shared" si="9"/>
        <v>20234608583.609997</v>
      </c>
      <c r="F82" s="30">
        <f t="shared" si="9"/>
        <v>998778045.9700006</v>
      </c>
      <c r="G82" s="30">
        <f t="shared" si="9"/>
        <v>119437.10000000012</v>
      </c>
      <c r="H82" s="30">
        <f t="shared" si="9"/>
        <v>1814988.1300000006</v>
      </c>
      <c r="I82" s="107">
        <f t="shared" si="9"/>
        <v>0</v>
      </c>
      <c r="J82" s="108"/>
      <c r="K82" s="56">
        <f t="shared" si="6"/>
        <v>26.90006445350331</v>
      </c>
      <c r="L82" s="56">
        <f t="shared" si="7"/>
        <v>64.35981863037577</v>
      </c>
    </row>
    <row r="83" spans="2:13" ht="12.75">
      <c r="B83" s="23" t="s">
        <v>15</v>
      </c>
      <c r="C83" s="55">
        <f>C5-C73</f>
        <v>-10508149386.319992</v>
      </c>
      <c r="D83" s="55"/>
      <c r="E83" s="55">
        <f>D5-E73</f>
        <v>4975376196.139999</v>
      </c>
      <c r="F83" s="55"/>
      <c r="G83" s="55"/>
      <c r="H83" s="55"/>
      <c r="I83" s="102"/>
      <c r="J83" s="102"/>
      <c r="K83" s="58"/>
      <c r="L83" s="58"/>
      <c r="M83" s="4"/>
    </row>
    <row r="84" spans="2:13" ht="22.5">
      <c r="B84" s="23" t="s">
        <v>83</v>
      </c>
      <c r="C84" s="55">
        <f>+C65-C76</f>
        <v>2068081741.2400208</v>
      </c>
      <c r="D84" s="55"/>
      <c r="E84" s="55">
        <f>+D65-E76</f>
        <v>8425410839.819984</v>
      </c>
      <c r="F84" s="55"/>
      <c r="G84" s="55"/>
      <c r="H84" s="55"/>
      <c r="I84" s="55"/>
      <c r="J84" s="55"/>
      <c r="K84" s="58"/>
      <c r="L84" s="58"/>
      <c r="M84" s="4"/>
    </row>
    <row r="85" spans="2:13" ht="8.25" customHeight="1">
      <c r="B85" s="59"/>
      <c r="C85" s="60"/>
      <c r="D85" s="60"/>
      <c r="E85" s="60"/>
      <c r="F85" s="61"/>
      <c r="G85" s="61"/>
      <c r="H85" s="61"/>
      <c r="I85" s="61"/>
      <c r="J85" s="62"/>
      <c r="K85" s="62"/>
      <c r="L85" s="63"/>
      <c r="M85" s="51"/>
    </row>
    <row r="86" spans="2:13" ht="12.75">
      <c r="B86" s="64" t="s">
        <v>80</v>
      </c>
      <c r="C86" s="65"/>
      <c r="D86" s="66"/>
      <c r="E86" s="66"/>
      <c r="F86" s="67"/>
      <c r="G86" s="67"/>
      <c r="H86" s="67"/>
      <c r="I86" s="67"/>
      <c r="J86" s="68"/>
      <c r="K86" s="68"/>
      <c r="L86" s="68"/>
      <c r="M86" s="51"/>
    </row>
    <row r="87" spans="2:13" ht="26.25" customHeight="1">
      <c r="B87" s="23" t="s">
        <v>98</v>
      </c>
      <c r="C87" s="69">
        <f>9632892169.33</f>
        <v>9632892169.33</v>
      </c>
      <c r="D87" s="70">
        <f>7429448745.35</f>
        <v>7429448745.35</v>
      </c>
      <c r="E87" s="70">
        <f>3926314295.36</f>
        <v>3926314295.36</v>
      </c>
      <c r="F87" s="70">
        <f>311554698.64</f>
        <v>311554698.64</v>
      </c>
      <c r="G87" s="70">
        <f>862329.53</f>
        <v>862329.53</v>
      </c>
      <c r="H87" s="70">
        <f>0</f>
        <v>0</v>
      </c>
      <c r="I87" s="70">
        <f>0</f>
        <v>0</v>
      </c>
      <c r="J87" s="70">
        <f>0</f>
        <v>0</v>
      </c>
      <c r="K87" s="53">
        <f>IF($E$73=0,"",100*$E87/$E$87)</f>
        <v>100</v>
      </c>
      <c r="L87" s="53">
        <f>IF(C87=0,"",100*E87/C87)</f>
        <v>40.75945444360858</v>
      </c>
      <c r="M87" s="51"/>
    </row>
    <row r="88" spans="2:13" ht="15" customHeight="1">
      <c r="B88" s="71" t="s">
        <v>81</v>
      </c>
      <c r="C88" s="72">
        <f>8514977665.44</f>
        <v>8514977665.44</v>
      </c>
      <c r="D88" s="57">
        <f>6791197336.93</f>
        <v>6791197336.93</v>
      </c>
      <c r="E88" s="57">
        <f>3452879756.43</f>
        <v>3452879756.43</v>
      </c>
      <c r="F88" s="57">
        <f>304878739.53</f>
        <v>304878739.53</v>
      </c>
      <c r="G88" s="57">
        <f>862329.53</f>
        <v>862329.53</v>
      </c>
      <c r="H88" s="57">
        <f>0</f>
        <v>0</v>
      </c>
      <c r="I88" s="57">
        <f>0</f>
        <v>0</v>
      </c>
      <c r="J88" s="57">
        <f>0</f>
        <v>0</v>
      </c>
      <c r="K88" s="56">
        <f>IF($E$73=0,"",100*$E88/$E$87)</f>
        <v>87.9420111759904</v>
      </c>
      <c r="L88" s="73">
        <f>IF(C88=0,"",100*E88/C88)</f>
        <v>40.55066134165341</v>
      </c>
      <c r="M88" s="51"/>
    </row>
    <row r="89" spans="2:12" ht="12.75">
      <c r="B89" s="74" t="s">
        <v>82</v>
      </c>
      <c r="C89" s="72">
        <f>C87-C88</f>
        <v>1117914503.8900003</v>
      </c>
      <c r="D89" s="57">
        <f aca="true" t="shared" si="10" ref="D89:J89">D87-D88</f>
        <v>638251408.4200001</v>
      </c>
      <c r="E89" s="57">
        <f t="shared" si="10"/>
        <v>473434538.9300003</v>
      </c>
      <c r="F89" s="57">
        <f t="shared" si="10"/>
        <v>6675959.110000014</v>
      </c>
      <c r="G89" s="57">
        <f t="shared" si="10"/>
        <v>0</v>
      </c>
      <c r="H89" s="57">
        <f t="shared" si="10"/>
        <v>0</v>
      </c>
      <c r="I89" s="57">
        <f t="shared" si="10"/>
        <v>0</v>
      </c>
      <c r="J89" s="57">
        <f t="shared" si="10"/>
        <v>0</v>
      </c>
      <c r="K89" s="56">
        <f>IF($E$73=0,"",100*$E89/$E$87)</f>
        <v>12.057988824009605</v>
      </c>
      <c r="L89" s="73">
        <f>IF(C89=0,"",100*E89/C89)</f>
        <v>42.349798422204294</v>
      </c>
    </row>
    <row r="90" ht="6" customHeight="1"/>
    <row r="91" spans="2:13" ht="18">
      <c r="B91" s="98" t="s">
        <v>112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ht="6.75" customHeight="1"/>
    <row r="93" spans="2:8" ht="12.75">
      <c r="B93" s="12" t="s">
        <v>16</v>
      </c>
      <c r="C93" s="116" t="s">
        <v>17</v>
      </c>
      <c r="D93" s="117"/>
      <c r="E93" s="116" t="s">
        <v>1</v>
      </c>
      <c r="F93" s="117"/>
      <c r="G93" s="8" t="s">
        <v>25</v>
      </c>
      <c r="H93" s="8" t="s">
        <v>26</v>
      </c>
    </row>
    <row r="94" spans="2:8" ht="12.75">
      <c r="B94" s="12"/>
      <c r="C94" s="109" t="s">
        <v>84</v>
      </c>
      <c r="D94" s="118"/>
      <c r="E94" s="118"/>
      <c r="F94" s="119"/>
      <c r="G94" s="120" t="s">
        <v>4</v>
      </c>
      <c r="H94" s="121"/>
    </row>
    <row r="95" spans="2:8" ht="12.75">
      <c r="B95" s="10">
        <v>1</v>
      </c>
      <c r="C95" s="13">
        <v>2</v>
      </c>
      <c r="D95" s="14"/>
      <c r="E95" s="13">
        <v>3</v>
      </c>
      <c r="F95" s="14"/>
      <c r="G95" s="11">
        <v>4</v>
      </c>
      <c r="H95" s="11">
        <v>5</v>
      </c>
    </row>
    <row r="96" spans="2:8" ht="22.5">
      <c r="B96" s="75" t="s">
        <v>73</v>
      </c>
      <c r="C96" s="76">
        <f>13816324676.37</f>
        <v>13816324676.37</v>
      </c>
      <c r="D96" s="77"/>
      <c r="E96" s="76">
        <f>9688523074.42</f>
        <v>9688523074.42</v>
      </c>
      <c r="F96" s="77"/>
      <c r="G96" s="78">
        <f>IF($E$96=0,"",100*$E96/$E$96)</f>
        <v>100</v>
      </c>
      <c r="H96" s="53">
        <f>IF(C96=0,"",100*E96/C96)</f>
        <v>70.12373624217328</v>
      </c>
    </row>
    <row r="97" spans="2:8" ht="33.75">
      <c r="B97" s="79" t="s">
        <v>99</v>
      </c>
      <c r="C97" s="80">
        <f>7859439568.81</f>
        <v>7859439568.81</v>
      </c>
      <c r="D97" s="81"/>
      <c r="E97" s="80">
        <f>1026300959.84</f>
        <v>1026300959.84</v>
      </c>
      <c r="F97" s="81"/>
      <c r="G97" s="82">
        <f aca="true" t="shared" si="11" ref="G97:G103">IF($E$96=0,"",100*$E97/$E$96)</f>
        <v>10.592955726654335</v>
      </c>
      <c r="H97" s="83">
        <f aca="true" t="shared" si="12" ref="H97:H109">IF(C97=0,"",100*E97/C97)</f>
        <v>13.058195191332102</v>
      </c>
    </row>
    <row r="98" spans="2:8" ht="22.5">
      <c r="B98" s="84" t="s">
        <v>100</v>
      </c>
      <c r="C98" s="85">
        <f>766025000</f>
        <v>766025000</v>
      </c>
      <c r="D98" s="86"/>
      <c r="E98" s="85">
        <f>300000000</f>
        <v>300000000</v>
      </c>
      <c r="F98" s="86"/>
      <c r="G98" s="87">
        <f t="shared" si="11"/>
        <v>3.0964471849385506</v>
      </c>
      <c r="H98" s="73">
        <f t="shared" si="12"/>
        <v>39.16321268888091</v>
      </c>
    </row>
    <row r="99" spans="2:8" ht="12.75">
      <c r="B99" s="84" t="s">
        <v>101</v>
      </c>
      <c r="C99" s="85">
        <f>81896551.71</f>
        <v>81896551.71</v>
      </c>
      <c r="D99" s="86"/>
      <c r="E99" s="85">
        <f>9951827.25</f>
        <v>9951827.25</v>
      </c>
      <c r="F99" s="86"/>
      <c r="G99" s="87">
        <f t="shared" si="11"/>
        <v>0.1027176915775242</v>
      </c>
      <c r="H99" s="73">
        <f t="shared" si="12"/>
        <v>12.151704854729347</v>
      </c>
    </row>
    <row r="100" spans="2:8" ht="12.75">
      <c r="B100" s="84" t="s">
        <v>102</v>
      </c>
      <c r="C100" s="85">
        <f>42101071.81</f>
        <v>42101071.81</v>
      </c>
      <c r="D100" s="86"/>
      <c r="E100" s="85">
        <f>73053322.37</f>
        <v>73053322.37</v>
      </c>
      <c r="F100" s="86"/>
      <c r="G100" s="87">
        <f t="shared" si="11"/>
        <v>0.7540191813433165</v>
      </c>
      <c r="H100" s="73">
        <f t="shared" si="12"/>
        <v>173.51891348440233</v>
      </c>
    </row>
    <row r="101" spans="2:8" ht="45.75" customHeight="1">
      <c r="B101" s="84" t="s">
        <v>109</v>
      </c>
      <c r="C101" s="85">
        <f>1416516811.22</f>
        <v>1416516811.22</v>
      </c>
      <c r="D101" s="86"/>
      <c r="E101" s="85">
        <f>1839092122.04</f>
        <v>1839092122.04</v>
      </c>
      <c r="F101" s="86"/>
      <c r="G101" s="87">
        <f t="shared" si="11"/>
        <v>18.982172080444744</v>
      </c>
      <c r="H101" s="73">
        <f t="shared" si="12"/>
        <v>129.83200110813013</v>
      </c>
    </row>
    <row r="102" spans="2:8" ht="12.75">
      <c r="B102" s="84" t="s">
        <v>103</v>
      </c>
      <c r="C102" s="85">
        <f>0</f>
        <v>0</v>
      </c>
      <c r="D102" s="86"/>
      <c r="E102" s="85">
        <f>0</f>
        <v>0</v>
      </c>
      <c r="F102" s="86"/>
      <c r="G102" s="87">
        <f t="shared" si="11"/>
        <v>0</v>
      </c>
      <c r="H102" s="73">
        <f t="shared" si="12"/>
      </c>
    </row>
    <row r="103" spans="2:8" ht="37.5" customHeight="1">
      <c r="B103" s="84" t="s">
        <v>107</v>
      </c>
      <c r="C103" s="85">
        <f>4328434844.82</f>
        <v>4328434844.82</v>
      </c>
      <c r="D103" s="86"/>
      <c r="E103" s="85">
        <f>6689189015.39</f>
        <v>6689189015.39</v>
      </c>
      <c r="F103" s="86"/>
      <c r="G103" s="87">
        <f t="shared" si="11"/>
        <v>69.04240165408747</v>
      </c>
      <c r="H103" s="73">
        <f t="shared" si="12"/>
        <v>154.54059620177034</v>
      </c>
    </row>
    <row r="104" spans="2:8" ht="12.75">
      <c r="B104" s="84" t="s">
        <v>86</v>
      </c>
      <c r="C104" s="85">
        <f>87935828</f>
        <v>87935828</v>
      </c>
      <c r="D104" s="86"/>
      <c r="E104" s="85">
        <f>50935827.53</f>
        <v>50935827.53</v>
      </c>
      <c r="F104" s="86"/>
      <c r="G104" s="87"/>
      <c r="H104" s="73"/>
    </row>
    <row r="105" spans="2:8" ht="22.5">
      <c r="B105" s="88" t="s">
        <v>74</v>
      </c>
      <c r="C105" s="89">
        <f>3308175290.05</f>
        <v>3308175290.05</v>
      </c>
      <c r="D105" s="90"/>
      <c r="E105" s="89">
        <f>2118136250.34</f>
        <v>2118136250.34</v>
      </c>
      <c r="F105" s="90"/>
      <c r="G105" s="91">
        <f>IF($E$105=0,"",100*$E105/$E$105)</f>
        <v>100</v>
      </c>
      <c r="H105" s="53">
        <f t="shared" si="12"/>
        <v>64.02732819843976</v>
      </c>
    </row>
    <row r="106" spans="2:8" ht="33.75">
      <c r="B106" s="84" t="s">
        <v>104</v>
      </c>
      <c r="C106" s="85">
        <f>3168512669.99</f>
        <v>3168512669.99</v>
      </c>
      <c r="D106" s="86"/>
      <c r="E106" s="85">
        <f>2022063649.82</f>
        <v>2022063649.82</v>
      </c>
      <c r="F106" s="86"/>
      <c r="G106" s="87">
        <f>IF($E$105=0,"",100*$E106/$E$105)</f>
        <v>95.46428609091703</v>
      </c>
      <c r="H106" s="73">
        <f t="shared" si="12"/>
        <v>63.817439297990305</v>
      </c>
    </row>
    <row r="107" spans="2:8" ht="22.5">
      <c r="B107" s="84" t="s">
        <v>105</v>
      </c>
      <c r="C107" s="85">
        <f>535520000</f>
        <v>535520000</v>
      </c>
      <c r="D107" s="86"/>
      <c r="E107" s="85">
        <f>351000000</f>
        <v>351000000</v>
      </c>
      <c r="F107" s="86"/>
      <c r="G107" s="87">
        <f>IF($E$105=0,"",100*$E107/$E$105)</f>
        <v>16.571171941543327</v>
      </c>
      <c r="H107" s="73">
        <f t="shared" si="12"/>
        <v>65.54377054078279</v>
      </c>
    </row>
    <row r="108" spans="2:8" ht="12.75">
      <c r="B108" s="84" t="s">
        <v>106</v>
      </c>
      <c r="C108" s="85">
        <f>62254425</f>
        <v>62254425</v>
      </c>
      <c r="D108" s="86"/>
      <c r="E108" s="85">
        <f>26212600.52</f>
        <v>26212600.52</v>
      </c>
      <c r="F108" s="86"/>
      <c r="G108" s="87">
        <f>IF($E$105=0,"",100*$E108/$E$105)</f>
        <v>1.2375313682390543</v>
      </c>
      <c r="H108" s="73">
        <f t="shared" si="12"/>
        <v>42.105602164022876</v>
      </c>
    </row>
    <row r="109" spans="2:8" ht="12.75">
      <c r="B109" s="84" t="s">
        <v>29</v>
      </c>
      <c r="C109" s="85">
        <f>77408195.06</f>
        <v>77408195.06</v>
      </c>
      <c r="D109" s="86"/>
      <c r="E109" s="85">
        <f>69860000</f>
        <v>69860000</v>
      </c>
      <c r="F109" s="86"/>
      <c r="G109" s="87">
        <f>IF($E$105=0,"",100*$E109/$E$105)</f>
        <v>3.2981825408439227</v>
      </c>
      <c r="H109" s="73">
        <f t="shared" si="12"/>
        <v>90.24884244601064</v>
      </c>
    </row>
    <row r="110" spans="2:8" ht="12.75">
      <c r="B110" s="42"/>
      <c r="C110" s="42"/>
      <c r="D110" s="42"/>
      <c r="E110" s="42"/>
      <c r="F110" s="42"/>
      <c r="G110" s="42"/>
      <c r="H110" s="42"/>
    </row>
    <row r="111" spans="2:8" ht="12.75">
      <c r="B111" s="15" t="s">
        <v>16</v>
      </c>
      <c r="C111" s="122" t="s">
        <v>17</v>
      </c>
      <c r="D111" s="123"/>
      <c r="E111" s="122" t="s">
        <v>1</v>
      </c>
      <c r="F111" s="123"/>
      <c r="G111" s="16" t="s">
        <v>25</v>
      </c>
      <c r="H111" s="16" t="s">
        <v>26</v>
      </c>
    </row>
    <row r="112" spans="2:8" ht="12.75">
      <c r="B112" s="17"/>
      <c r="C112" s="111" t="s">
        <v>84</v>
      </c>
      <c r="D112" s="112"/>
      <c r="E112" s="112"/>
      <c r="F112" s="113"/>
      <c r="G112" s="114" t="s">
        <v>4</v>
      </c>
      <c r="H112" s="115"/>
    </row>
    <row r="113" spans="2:8" ht="12.75">
      <c r="B113" s="18">
        <v>1</v>
      </c>
      <c r="C113" s="19">
        <v>2</v>
      </c>
      <c r="D113" s="20"/>
      <c r="E113" s="19">
        <v>3</v>
      </c>
      <c r="F113" s="20"/>
      <c r="G113" s="21">
        <v>4</v>
      </c>
      <c r="H113" s="21">
        <v>5</v>
      </c>
    </row>
    <row r="114" spans="2:8" ht="28.5" customHeight="1">
      <c r="B114" s="92" t="s">
        <v>87</v>
      </c>
      <c r="C114" s="85">
        <f>10512069533.65</f>
        <v>10512069533.65</v>
      </c>
      <c r="D114" s="86"/>
      <c r="E114" s="85">
        <f>0</f>
        <v>0</v>
      </c>
      <c r="F114" s="93"/>
      <c r="G114" s="87"/>
      <c r="H114" s="73"/>
    </row>
    <row r="115" spans="2:8" ht="56.25">
      <c r="B115" s="92" t="s">
        <v>88</v>
      </c>
      <c r="C115" s="85">
        <f>552135523</f>
        <v>552135523</v>
      </c>
      <c r="D115" s="86"/>
      <c r="E115" s="85">
        <f>0</f>
        <v>0</v>
      </c>
      <c r="F115" s="86"/>
      <c r="G115" s="87"/>
      <c r="H115" s="73"/>
    </row>
    <row r="116" spans="2:8" ht="12.75">
      <c r="B116" s="92" t="s">
        <v>89</v>
      </c>
      <c r="C116" s="85">
        <f>4938156705.27</f>
        <v>4938156705.27</v>
      </c>
      <c r="D116" s="86"/>
      <c r="E116" s="85">
        <f>0</f>
        <v>0</v>
      </c>
      <c r="F116" s="86"/>
      <c r="G116" s="87"/>
      <c r="H116" s="73"/>
    </row>
    <row r="117" spans="2:8" ht="33.75">
      <c r="B117" s="92" t="s">
        <v>90</v>
      </c>
      <c r="C117" s="85">
        <f>0</f>
        <v>0</v>
      </c>
      <c r="D117" s="86"/>
      <c r="E117" s="85">
        <f>0</f>
        <v>0</v>
      </c>
      <c r="F117" s="86"/>
      <c r="G117" s="87"/>
      <c r="H117" s="73"/>
    </row>
    <row r="118" spans="2:8" ht="33.75">
      <c r="B118" s="92" t="s">
        <v>91</v>
      </c>
      <c r="C118" s="85">
        <f>41351071.81</f>
        <v>41351071.81</v>
      </c>
      <c r="D118" s="86"/>
      <c r="E118" s="85">
        <f>0</f>
        <v>0</v>
      </c>
      <c r="F118" s="86"/>
      <c r="G118" s="87"/>
      <c r="H118" s="73"/>
    </row>
    <row r="119" spans="2:8" ht="101.25">
      <c r="B119" s="92" t="s">
        <v>92</v>
      </c>
      <c r="C119" s="85">
        <f>3639366242.83</f>
        <v>3639366242.83</v>
      </c>
      <c r="D119" s="86"/>
      <c r="E119" s="85">
        <f>0</f>
        <v>0</v>
      </c>
      <c r="F119" s="86"/>
      <c r="G119" s="87"/>
      <c r="H119" s="73"/>
    </row>
    <row r="120" spans="2:8" ht="12.75">
      <c r="B120" s="94"/>
      <c r="C120" s="62"/>
      <c r="D120" s="62"/>
      <c r="E120" s="62"/>
      <c r="F120" s="62"/>
      <c r="G120" s="62"/>
      <c r="H120" s="62"/>
    </row>
  </sheetData>
  <sheetProtection/>
  <mergeCells count="38">
    <mergeCell ref="I79:J79"/>
    <mergeCell ref="I80:J80"/>
    <mergeCell ref="K71:L71"/>
    <mergeCell ref="K3:M3"/>
    <mergeCell ref="C3:J3"/>
    <mergeCell ref="B66:M66"/>
    <mergeCell ref="C71:J71"/>
    <mergeCell ref="I72:J72"/>
    <mergeCell ref="I75:J75"/>
    <mergeCell ref="I76:J76"/>
    <mergeCell ref="C112:F112"/>
    <mergeCell ref="G112:H112"/>
    <mergeCell ref="C93:D93"/>
    <mergeCell ref="E93:F93"/>
    <mergeCell ref="C94:F94"/>
    <mergeCell ref="G94:H94"/>
    <mergeCell ref="C111:D111"/>
    <mergeCell ref="E111:F111"/>
    <mergeCell ref="I83:J83"/>
    <mergeCell ref="I81:J81"/>
    <mergeCell ref="B91:M91"/>
    <mergeCell ref="I68:J70"/>
    <mergeCell ref="D68:D70"/>
    <mergeCell ref="E68:E70"/>
    <mergeCell ref="F69:F70"/>
    <mergeCell ref="F68:H68"/>
    <mergeCell ref="I82:J82"/>
    <mergeCell ref="I77:J77"/>
    <mergeCell ref="I78:J78"/>
    <mergeCell ref="B1:M1"/>
    <mergeCell ref="B2:B3"/>
    <mergeCell ref="C68:C70"/>
    <mergeCell ref="B68:B71"/>
    <mergeCell ref="K68:K70"/>
    <mergeCell ref="I74:J74"/>
    <mergeCell ref="L68:L70"/>
    <mergeCell ref="G69:H69"/>
    <mergeCell ref="I73:J73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5" manualBreakCount="5">
    <brk id="22" max="255" man="1"/>
    <brk id="51" max="12" man="1"/>
    <brk id="65" max="255" man="1"/>
    <brk id="90" max="255" man="1"/>
    <brk id="1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2021-12-08T11:13:43Z</dcterms:modified>
  <cp:category/>
  <cp:version/>
  <cp:contentType/>
  <cp:contentStatus/>
</cp:coreProperties>
</file>