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t08\dda\DDP.5\FDS-nowe\NABORY_LISTY_FDS\Nabór 2021 na 2022\Listy do wysyłki do PRM\"/>
    </mc:Choice>
  </mc:AlternateContent>
  <bookViews>
    <workbookView xWindow="0" yWindow="0" windowWidth="24000" windowHeight="14235"/>
  </bookViews>
  <sheets>
    <sheet name="08 - lubuskie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Print_Area" localSheetId="0">'08 - lubuskie'!$A$1:$O$36</definedName>
    <definedName name="_xlnm.Print_Area" localSheetId="2">'gm podst'!$A$1:$X$63</definedName>
    <definedName name="_xlnm.Print_Area" localSheetId="4">'gm rez'!$A$1:$X$46</definedName>
    <definedName name="_xlnm.Print_Area" localSheetId="1">'pow podst'!$A$1:$W$29</definedName>
    <definedName name="_xlnm.Print_Area" localSheetId="3">'pow rez'!$A$1:$W$20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" i="6" l="1"/>
  <c r="Z4" i="6"/>
  <c r="AA4" i="6" s="1"/>
  <c r="AB4" i="6"/>
  <c r="Y5" i="6"/>
  <c r="Z5" i="6"/>
  <c r="AA5" i="6"/>
  <c r="AB5" i="6"/>
  <c r="Y6" i="6"/>
  <c r="Z6" i="6"/>
  <c r="AA6" i="6" s="1"/>
  <c r="AB6" i="6"/>
  <c r="Y7" i="6"/>
  <c r="Z7" i="6"/>
  <c r="AA7" i="6"/>
  <c r="AB7" i="6"/>
  <c r="Y8" i="6"/>
  <c r="Z8" i="6"/>
  <c r="AA8" i="6" s="1"/>
  <c r="AB8" i="6"/>
  <c r="Y9" i="6"/>
  <c r="Z9" i="6"/>
  <c r="AA9" i="6"/>
  <c r="AB9" i="6"/>
  <c r="Y10" i="6"/>
  <c r="Z10" i="6"/>
  <c r="AA10" i="6" s="1"/>
  <c r="AB10" i="6"/>
  <c r="Y11" i="6"/>
  <c r="Z11" i="6"/>
  <c r="AA11" i="6"/>
  <c r="AB11" i="6"/>
  <c r="Y12" i="6"/>
  <c r="Z12" i="6"/>
  <c r="AA12" i="6" s="1"/>
  <c r="AB12" i="6"/>
  <c r="Y13" i="6"/>
  <c r="Z13" i="6"/>
  <c r="AA13" i="6"/>
  <c r="AB13" i="6"/>
  <c r="Y14" i="6"/>
  <c r="Z14" i="6"/>
  <c r="AA14" i="6" s="1"/>
  <c r="AB14" i="6"/>
  <c r="Y15" i="6"/>
  <c r="Z15" i="6"/>
  <c r="AA15" i="6"/>
  <c r="AB15" i="6"/>
  <c r="Y16" i="6"/>
  <c r="Z16" i="6"/>
  <c r="AA16" i="6" s="1"/>
  <c r="AB16" i="6"/>
  <c r="Y17" i="6"/>
  <c r="Z17" i="6"/>
  <c r="AA17" i="6"/>
  <c r="AB17" i="6"/>
  <c r="Y18" i="6"/>
  <c r="Z18" i="6"/>
  <c r="AA18" i="6" s="1"/>
  <c r="AB18" i="6"/>
  <c r="Y19" i="6"/>
  <c r="Z19" i="6"/>
  <c r="AA19" i="6"/>
  <c r="AB19" i="6"/>
  <c r="Y20" i="6"/>
  <c r="Z20" i="6"/>
  <c r="AA20" i="6" s="1"/>
  <c r="AB20" i="6"/>
  <c r="Y21" i="6"/>
  <c r="Z21" i="6"/>
  <c r="AA21" i="6"/>
  <c r="AB21" i="6"/>
  <c r="Y22" i="6"/>
  <c r="Z22" i="6"/>
  <c r="AA22" i="6" s="1"/>
  <c r="AB22" i="6"/>
  <c r="Y23" i="6"/>
  <c r="Z23" i="6"/>
  <c r="AA23" i="6"/>
  <c r="AB23" i="6"/>
  <c r="Y24" i="6"/>
  <c r="Z24" i="6"/>
  <c r="AA24" i="6" s="1"/>
  <c r="AB24" i="6"/>
  <c r="Y25" i="6"/>
  <c r="Z25" i="6"/>
  <c r="AA25" i="6"/>
  <c r="AB25" i="6"/>
  <c r="Y26" i="6"/>
  <c r="Z26" i="6"/>
  <c r="AA26" i="6" s="1"/>
  <c r="AB26" i="6"/>
  <c r="Y27" i="6"/>
  <c r="Z27" i="6"/>
  <c r="AA27" i="6"/>
  <c r="AB27" i="6"/>
  <c r="Y28" i="6"/>
  <c r="Z28" i="6"/>
  <c r="AA28" i="6" s="1"/>
  <c r="AB28" i="6"/>
  <c r="Y29" i="6"/>
  <c r="Z29" i="6"/>
  <c r="AA29" i="6"/>
  <c r="AB29" i="6"/>
  <c r="Y30" i="6"/>
  <c r="Z30" i="6"/>
  <c r="AA30" i="6" s="1"/>
  <c r="AB30" i="6"/>
  <c r="Y31" i="6"/>
  <c r="Z31" i="6"/>
  <c r="AA31" i="6"/>
  <c r="AB31" i="6"/>
  <c r="Y32" i="6"/>
  <c r="Z32" i="6"/>
  <c r="AA32" i="6" s="1"/>
  <c r="AB32" i="6"/>
  <c r="Y33" i="6"/>
  <c r="Z33" i="6"/>
  <c r="AA33" i="6"/>
  <c r="AB33" i="6"/>
  <c r="Y34" i="6"/>
  <c r="Z34" i="6"/>
  <c r="AA34" i="6" s="1"/>
  <c r="AB34" i="6"/>
  <c r="Y35" i="6"/>
  <c r="Z35" i="6"/>
  <c r="AA35" i="6"/>
  <c r="AB35" i="6"/>
  <c r="Y36" i="6"/>
  <c r="Z36" i="6"/>
  <c r="AA36" i="6" s="1"/>
  <c r="AB36" i="6"/>
  <c r="Y37" i="6"/>
  <c r="Z37" i="6"/>
  <c r="AA37" i="6"/>
  <c r="AB37" i="6"/>
  <c r="Y38" i="6"/>
  <c r="Z38" i="6"/>
  <c r="AA38" i="6" s="1"/>
  <c r="AB38" i="6"/>
  <c r="Y39" i="6"/>
  <c r="Z39" i="6"/>
  <c r="AA39" i="6"/>
  <c r="AB39" i="6"/>
  <c r="AB3" i="6"/>
  <c r="AA3" i="6"/>
  <c r="Z3" i="6"/>
  <c r="Y3" i="6"/>
  <c r="X4" i="4"/>
  <c r="Y4" i="4"/>
  <c r="Z4" i="4" s="1"/>
  <c r="AA4" i="4"/>
  <c r="X5" i="4"/>
  <c r="Y5" i="4"/>
  <c r="Z5" i="4"/>
  <c r="AA5" i="4"/>
  <c r="X6" i="4"/>
  <c r="Y6" i="4"/>
  <c r="Z6" i="4" s="1"/>
  <c r="AA6" i="4"/>
  <c r="X7" i="4"/>
  <c r="Y7" i="4"/>
  <c r="Z7" i="4"/>
  <c r="AA7" i="4"/>
  <c r="X8" i="4"/>
  <c r="Y8" i="4"/>
  <c r="Z8" i="4" s="1"/>
  <c r="AA8" i="4"/>
  <c r="X9" i="4"/>
  <c r="Y9" i="4"/>
  <c r="Z9" i="4"/>
  <c r="AA9" i="4"/>
  <c r="X10" i="4"/>
  <c r="Y10" i="4"/>
  <c r="Z10" i="4" s="1"/>
  <c r="AA10" i="4"/>
  <c r="X11" i="4"/>
  <c r="Y11" i="4"/>
  <c r="Z11" i="4"/>
  <c r="AA11" i="4"/>
  <c r="X12" i="4"/>
  <c r="Y12" i="4"/>
  <c r="Z12" i="4" s="1"/>
  <c r="AA12" i="4"/>
  <c r="X13" i="4"/>
  <c r="Y13" i="4"/>
  <c r="Z13" i="4"/>
  <c r="AA13" i="4"/>
  <c r="AA3" i="4"/>
  <c r="Y3" i="4"/>
  <c r="Z3" i="4" s="1"/>
  <c r="X3" i="4"/>
  <c r="K13" i="4"/>
  <c r="L13" i="4" s="1"/>
  <c r="K12" i="4"/>
  <c r="L12" i="4" s="1"/>
  <c r="O28" i="7"/>
  <c r="N28" i="7"/>
  <c r="M28" i="7"/>
  <c r="L28" i="7"/>
  <c r="K28" i="7"/>
  <c r="J28" i="7"/>
  <c r="H28" i="7"/>
  <c r="G28" i="7"/>
  <c r="F28" i="7"/>
  <c r="C28" i="7"/>
  <c r="B28" i="7"/>
  <c r="O27" i="7"/>
  <c r="N27" i="7"/>
  <c r="M27" i="7"/>
  <c r="L27" i="7"/>
  <c r="K27" i="7"/>
  <c r="J27" i="7"/>
  <c r="H27" i="7"/>
  <c r="G27" i="7"/>
  <c r="F27" i="7"/>
  <c r="C27" i="7"/>
  <c r="Z48" i="5"/>
  <c r="AA48" i="5" s="1"/>
  <c r="Y48" i="5"/>
  <c r="I58" i="5"/>
  <c r="I57" i="5"/>
  <c r="I56" i="5"/>
  <c r="Z54" i="5"/>
  <c r="AA54" i="5" s="1"/>
  <c r="Y54" i="5"/>
  <c r="I41" i="6"/>
  <c r="K41" i="6"/>
  <c r="X41" i="6"/>
  <c r="W41" i="6"/>
  <c r="V41" i="6"/>
  <c r="U41" i="6"/>
  <c r="T41" i="6"/>
  <c r="S41" i="6"/>
  <c r="Q41" i="6"/>
  <c r="P41" i="6"/>
  <c r="O41" i="6"/>
  <c r="X40" i="6"/>
  <c r="W40" i="6"/>
  <c r="V40" i="6"/>
  <c r="U40" i="6"/>
  <c r="T40" i="6"/>
  <c r="S40" i="6"/>
  <c r="Q40" i="6"/>
  <c r="P40" i="6"/>
  <c r="O40" i="6"/>
  <c r="K40" i="6"/>
  <c r="I40" i="6"/>
  <c r="X42" i="6"/>
  <c r="W42" i="6"/>
  <c r="V42" i="6"/>
  <c r="U42" i="6"/>
  <c r="T42" i="6"/>
  <c r="S42" i="6"/>
  <c r="R42" i="6"/>
  <c r="Q42" i="6"/>
  <c r="P42" i="6"/>
  <c r="O42" i="6"/>
  <c r="K42" i="6"/>
  <c r="I42" i="6"/>
  <c r="O29" i="7"/>
  <c r="N29" i="7"/>
  <c r="M29" i="7"/>
  <c r="L29" i="7"/>
  <c r="K29" i="7"/>
  <c r="J29" i="7"/>
  <c r="I29" i="7"/>
  <c r="H29" i="7"/>
  <c r="G29" i="7"/>
  <c r="F29" i="7"/>
  <c r="C29" i="7"/>
  <c r="B29" i="7"/>
  <c r="M48" i="5"/>
  <c r="AB48" i="5" s="1"/>
  <c r="L45" i="5"/>
  <c r="M45" i="5" s="1"/>
  <c r="L41" i="5"/>
  <c r="M41" i="5" s="1"/>
  <c r="L50" i="5"/>
  <c r="M50" i="5" s="1"/>
  <c r="L49" i="5"/>
  <c r="R49" i="5" s="1"/>
  <c r="L47" i="5"/>
  <c r="M47" i="5" s="1"/>
  <c r="L43" i="5"/>
  <c r="M43" i="5" s="1"/>
  <c r="L40" i="5"/>
  <c r="M40" i="5" s="1"/>
  <c r="L32" i="5"/>
  <c r="M32" i="5" s="1"/>
  <c r="L31" i="5"/>
  <c r="R31" i="5" s="1"/>
  <c r="L30" i="5"/>
  <c r="M30" i="5" s="1"/>
  <c r="L29" i="5"/>
  <c r="M29" i="5" s="1"/>
  <c r="L28" i="5"/>
  <c r="M28" i="5" s="1"/>
  <c r="L26" i="5"/>
  <c r="R26" i="5" s="1"/>
  <c r="L27" i="5"/>
  <c r="M27" i="5" s="1"/>
  <c r="L23" i="5"/>
  <c r="M23" i="5" s="1"/>
  <c r="L39" i="6"/>
  <c r="R39" i="6" s="1"/>
  <c r="L38" i="6"/>
  <c r="M38" i="6" s="1"/>
  <c r="L37" i="6"/>
  <c r="R37" i="6" s="1"/>
  <c r="L36" i="6"/>
  <c r="R36" i="6" s="1"/>
  <c r="L35" i="6"/>
  <c r="R35" i="6" s="1"/>
  <c r="L34" i="6"/>
  <c r="R34" i="6" s="1"/>
  <c r="L33" i="6"/>
  <c r="M33" i="6" s="1"/>
  <c r="M32" i="6"/>
  <c r="L32" i="6"/>
  <c r="R32" i="6" s="1"/>
  <c r="L31" i="6"/>
  <c r="R31" i="6" s="1"/>
  <c r="L30" i="6"/>
  <c r="R30" i="6" s="1"/>
  <c r="L29" i="6"/>
  <c r="M29" i="6" s="1"/>
  <c r="L28" i="6"/>
  <c r="R28" i="6" s="1"/>
  <c r="L27" i="6"/>
  <c r="M27" i="6" s="1"/>
  <c r="L26" i="6"/>
  <c r="M26" i="6" s="1"/>
  <c r="L25" i="6"/>
  <c r="M25" i="6" s="1"/>
  <c r="L24" i="6"/>
  <c r="R24" i="6" s="1"/>
  <c r="L23" i="6"/>
  <c r="M23" i="6" s="1"/>
  <c r="L22" i="6"/>
  <c r="R22" i="6" s="1"/>
  <c r="L21" i="6"/>
  <c r="R21" i="6" s="1"/>
  <c r="L20" i="6"/>
  <c r="R20" i="6" s="1"/>
  <c r="L19" i="6"/>
  <c r="M19" i="6" s="1"/>
  <c r="L18" i="6"/>
  <c r="R18" i="6" s="1"/>
  <c r="L17" i="6"/>
  <c r="M17" i="6" s="1"/>
  <c r="L16" i="6"/>
  <c r="R16" i="6" s="1"/>
  <c r="L15" i="6"/>
  <c r="M15" i="6" s="1"/>
  <c r="L14" i="6"/>
  <c r="M14" i="6" s="1"/>
  <c r="L13" i="6"/>
  <c r="M13" i="6" s="1"/>
  <c r="L12" i="6"/>
  <c r="M12" i="6" s="1"/>
  <c r="L11" i="6"/>
  <c r="M11" i="6" s="1"/>
  <c r="L10" i="6"/>
  <c r="M10" i="6" s="1"/>
  <c r="L9" i="6"/>
  <c r="M9" i="6" s="1"/>
  <c r="L8" i="6"/>
  <c r="M8" i="6" s="1"/>
  <c r="L7" i="6"/>
  <c r="M7" i="6" s="1"/>
  <c r="L6" i="6"/>
  <c r="R6" i="6" s="1"/>
  <c r="L3" i="6"/>
  <c r="M3" i="6" s="1"/>
  <c r="D29" i="7" s="1"/>
  <c r="L5" i="6"/>
  <c r="R5" i="6" s="1"/>
  <c r="L4" i="6"/>
  <c r="R4" i="6" s="1"/>
  <c r="M54" i="5"/>
  <c r="AB54" i="5" s="1"/>
  <c r="E29" i="7" l="1"/>
  <c r="L40" i="6"/>
  <c r="M31" i="6"/>
  <c r="M18" i="6"/>
  <c r="R41" i="6"/>
  <c r="B27" i="7"/>
  <c r="L42" i="6"/>
  <c r="E28" i="7"/>
  <c r="M42" i="6"/>
  <c r="L41" i="6"/>
  <c r="E27" i="7"/>
  <c r="M30" i="6"/>
  <c r="Q13" i="4"/>
  <c r="Q12" i="4"/>
  <c r="Z23" i="5"/>
  <c r="AA23" i="5" s="1"/>
  <c r="AB23" i="5"/>
  <c r="Y26" i="5"/>
  <c r="Z26" i="5"/>
  <c r="AA26" i="5" s="1"/>
  <c r="Y31" i="5"/>
  <c r="Y29" i="5"/>
  <c r="Z31" i="5"/>
  <c r="AA31" i="5" s="1"/>
  <c r="Z29" i="5"/>
  <c r="AA29" i="5" s="1"/>
  <c r="AB29" i="5"/>
  <c r="Y23" i="5"/>
  <c r="Z27" i="5"/>
  <c r="AA27" i="5" s="1"/>
  <c r="AB27" i="5"/>
  <c r="Y32" i="5"/>
  <c r="Y30" i="5"/>
  <c r="Z32" i="5"/>
  <c r="AA32" i="5" s="1"/>
  <c r="Z30" i="5"/>
  <c r="AA30" i="5" s="1"/>
  <c r="AB32" i="5"/>
  <c r="AB30" i="5"/>
  <c r="Z43" i="5"/>
  <c r="AA43" i="5" s="1"/>
  <c r="AB43" i="5"/>
  <c r="AB40" i="5"/>
  <c r="Z45" i="5"/>
  <c r="AA45" i="5" s="1"/>
  <c r="AB45" i="5"/>
  <c r="Z50" i="5"/>
  <c r="AA50" i="5" s="1"/>
  <c r="AB50" i="5"/>
  <c r="AB41" i="5"/>
  <c r="Y45" i="5"/>
  <c r="Y40" i="5"/>
  <c r="Z40" i="5"/>
  <c r="AA40" i="5" s="1"/>
  <c r="Y41" i="5"/>
  <c r="Z41" i="5"/>
  <c r="AA41" i="5" s="1"/>
  <c r="M6" i="6"/>
  <c r="M24" i="6"/>
  <c r="M49" i="5"/>
  <c r="R50" i="5"/>
  <c r="Y50" i="5" s="1"/>
  <c r="R43" i="5"/>
  <c r="Y43" i="5" s="1"/>
  <c r="M26" i="5"/>
  <c r="AB26" i="5" s="1"/>
  <c r="M31" i="5"/>
  <c r="AB31" i="5" s="1"/>
  <c r="R27" i="5"/>
  <c r="Y27" i="5" s="1"/>
  <c r="M39" i="6"/>
  <c r="M4" i="6"/>
  <c r="D27" i="7" s="1"/>
  <c r="M5" i="6"/>
  <c r="M16" i="6"/>
  <c r="M20" i="6"/>
  <c r="M21" i="6"/>
  <c r="M40" i="6" s="1"/>
  <c r="M22" i="6"/>
  <c r="M28" i="6"/>
  <c r="M34" i="6"/>
  <c r="M35" i="6"/>
  <c r="M36" i="6"/>
  <c r="M37" i="6"/>
  <c r="R38" i="6"/>
  <c r="R33" i="6"/>
  <c r="R29" i="6"/>
  <c r="R27" i="6"/>
  <c r="R26" i="6"/>
  <c r="R25" i="6"/>
  <c r="R19" i="6"/>
  <c r="R14" i="6"/>
  <c r="R13" i="6"/>
  <c r="R12" i="6"/>
  <c r="R10" i="6"/>
  <c r="R9" i="6"/>
  <c r="R7" i="6"/>
  <c r="I27" i="7" s="1"/>
  <c r="R40" i="6" l="1"/>
  <c r="M41" i="6"/>
  <c r="D28" i="7"/>
  <c r="I28" i="7"/>
  <c r="M53" i="5"/>
  <c r="AB53" i="5" s="1"/>
  <c r="Y53" i="5" l="1"/>
  <c r="Z53" i="5"/>
  <c r="AA53" i="5" s="1"/>
  <c r="L52" i="5"/>
  <c r="M52" i="5" s="1"/>
  <c r="L51" i="5"/>
  <c r="R51" i="5" s="1"/>
  <c r="L46" i="5"/>
  <c r="M46" i="5" s="1"/>
  <c r="L44" i="5"/>
  <c r="R44" i="5" s="1"/>
  <c r="L37" i="5"/>
  <c r="M37" i="5" s="1"/>
  <c r="L36" i="5"/>
  <c r="M36" i="5" s="1"/>
  <c r="L35" i="5"/>
  <c r="R35" i="5" s="1"/>
  <c r="L34" i="5"/>
  <c r="M34" i="5" s="1"/>
  <c r="L33" i="5"/>
  <c r="M33" i="5" s="1"/>
  <c r="Y44" i="5" l="1"/>
  <c r="Z44" i="5"/>
  <c r="AA44" i="5" s="1"/>
  <c r="Z49" i="5"/>
  <c r="AA49" i="5" s="1"/>
  <c r="AB49" i="5"/>
  <c r="Z46" i="5"/>
  <c r="AA46" i="5" s="1"/>
  <c r="AB46" i="5"/>
  <c r="Y49" i="5"/>
  <c r="Y34" i="5"/>
  <c r="Z36" i="5"/>
  <c r="AA36" i="5" s="1"/>
  <c r="Z34" i="5"/>
  <c r="AA34" i="5" s="1"/>
  <c r="AB36" i="5"/>
  <c r="AB34" i="5"/>
  <c r="M51" i="5"/>
  <c r="AB51" i="5" s="1"/>
  <c r="Y35" i="5"/>
  <c r="Z37" i="5"/>
  <c r="AA37" i="5" s="1"/>
  <c r="Z35" i="5"/>
  <c r="AA35" i="5" s="1"/>
  <c r="AB37" i="5"/>
  <c r="R52" i="5"/>
  <c r="Y52" i="5" s="1"/>
  <c r="M44" i="5"/>
  <c r="AB44" i="5" s="1"/>
  <c r="R46" i="5"/>
  <c r="Y46" i="5" s="1"/>
  <c r="M35" i="5"/>
  <c r="AB35" i="5" s="1"/>
  <c r="R37" i="5"/>
  <c r="Y37" i="5" s="1"/>
  <c r="R36" i="5"/>
  <c r="Y36" i="5" s="1"/>
  <c r="R33" i="5"/>
  <c r="Y33" i="5" s="1"/>
  <c r="AB47" i="5"/>
  <c r="L42" i="5"/>
  <c r="M42" i="5" s="1"/>
  <c r="AB42" i="5" s="1"/>
  <c r="L39" i="5"/>
  <c r="L38" i="5"/>
  <c r="AB28" i="5"/>
  <c r="L25" i="5"/>
  <c r="M25" i="5" s="1"/>
  <c r="AB25" i="5" s="1"/>
  <c r="L24" i="5"/>
  <c r="M24" i="5" s="1"/>
  <c r="AB24" i="5" s="1"/>
  <c r="Y5" i="3"/>
  <c r="Z5" i="3" s="1"/>
  <c r="Y9" i="3"/>
  <c r="Z9" i="3" s="1"/>
  <c r="Y10" i="3"/>
  <c r="Z10" i="3" s="1"/>
  <c r="Y11" i="3"/>
  <c r="Z11" i="3" s="1"/>
  <c r="Y20" i="3"/>
  <c r="Z20" i="3" s="1"/>
  <c r="X5" i="3"/>
  <c r="X9" i="3"/>
  <c r="X10" i="3"/>
  <c r="X11" i="3"/>
  <c r="X20" i="3"/>
  <c r="AB52" i="5"/>
  <c r="Z19" i="5"/>
  <c r="AA19" i="5" s="1"/>
  <c r="Z20" i="5"/>
  <c r="AA20" i="5" s="1"/>
  <c r="Z21" i="5"/>
  <c r="AA21" i="5" s="1"/>
  <c r="Z22" i="5"/>
  <c r="AA22" i="5" s="1"/>
  <c r="Z28" i="5"/>
  <c r="AA28" i="5" s="1"/>
  <c r="Z47" i="5"/>
  <c r="AA47" i="5" s="1"/>
  <c r="Z51" i="5"/>
  <c r="AA51" i="5" s="1"/>
  <c r="Z52" i="5"/>
  <c r="AA52" i="5" s="1"/>
  <c r="Y19" i="5"/>
  <c r="Y20" i="5"/>
  <c r="Y21" i="5"/>
  <c r="Y22" i="5"/>
  <c r="Y51" i="5"/>
  <c r="Y25" i="5" l="1"/>
  <c r="Y24" i="5"/>
  <c r="Z42" i="5"/>
  <c r="AA42" i="5" s="1"/>
  <c r="Z25" i="5"/>
  <c r="AA25" i="5" s="1"/>
  <c r="R39" i="5"/>
  <c r="Z39" i="5"/>
  <c r="AA39" i="5" s="1"/>
  <c r="Y39" i="5"/>
  <c r="M38" i="5"/>
  <c r="AB38" i="5" s="1"/>
  <c r="Z38" i="5"/>
  <c r="AA38" i="5" s="1"/>
  <c r="Z24" i="5"/>
  <c r="AA24" i="5" s="1"/>
  <c r="M39" i="5"/>
  <c r="AB39" i="5" s="1"/>
  <c r="Y47" i="5"/>
  <c r="Y42" i="5"/>
  <c r="R38" i="5"/>
  <c r="Y38" i="5" s="1"/>
  <c r="Z33" i="5"/>
  <c r="AA33" i="5" s="1"/>
  <c r="AB33" i="5"/>
  <c r="Y28" i="5"/>
  <c r="W16" i="4"/>
  <c r="V16" i="4"/>
  <c r="U16" i="4"/>
  <c r="T16" i="4"/>
  <c r="S16" i="4"/>
  <c r="R16" i="4"/>
  <c r="Q16" i="4"/>
  <c r="P16" i="4"/>
  <c r="O16" i="4"/>
  <c r="N16" i="4"/>
  <c r="J16" i="4"/>
  <c r="W15" i="4"/>
  <c r="V15" i="4"/>
  <c r="U15" i="4"/>
  <c r="T15" i="4"/>
  <c r="S15" i="4"/>
  <c r="R15" i="4"/>
  <c r="P15" i="4"/>
  <c r="O15" i="4"/>
  <c r="N15" i="4"/>
  <c r="J15" i="4"/>
  <c r="W14" i="4"/>
  <c r="V14" i="4"/>
  <c r="U14" i="4"/>
  <c r="T14" i="4"/>
  <c r="S14" i="4"/>
  <c r="R14" i="4"/>
  <c r="P14" i="4"/>
  <c r="O14" i="4"/>
  <c r="N14" i="4"/>
  <c r="J14" i="4"/>
  <c r="H16" i="4"/>
  <c r="H15" i="4"/>
  <c r="H14" i="4"/>
  <c r="O26" i="7"/>
  <c r="N26" i="7"/>
  <c r="M26" i="7"/>
  <c r="L26" i="7"/>
  <c r="K26" i="7"/>
  <c r="J26" i="7"/>
  <c r="I26" i="7"/>
  <c r="H26" i="7"/>
  <c r="G26" i="7"/>
  <c r="F26" i="7"/>
  <c r="B26" i="7"/>
  <c r="C26" i="7"/>
  <c r="O25" i="7"/>
  <c r="N25" i="7"/>
  <c r="M25" i="7"/>
  <c r="L25" i="7"/>
  <c r="K25" i="7"/>
  <c r="J25" i="7"/>
  <c r="H25" i="7"/>
  <c r="G25" i="7"/>
  <c r="F25" i="7"/>
  <c r="C25" i="7"/>
  <c r="B25" i="7"/>
  <c r="O24" i="7"/>
  <c r="N24" i="7"/>
  <c r="M24" i="7"/>
  <c r="L24" i="7"/>
  <c r="K24" i="7"/>
  <c r="J24" i="7"/>
  <c r="H24" i="7"/>
  <c r="G24" i="7"/>
  <c r="F24" i="7"/>
  <c r="C24" i="7"/>
  <c r="K11" i="4"/>
  <c r="K10" i="4"/>
  <c r="K9" i="4"/>
  <c r="L9" i="4" s="1"/>
  <c r="K8" i="4"/>
  <c r="K7" i="4"/>
  <c r="K6" i="4"/>
  <c r="K5" i="4"/>
  <c r="K4" i="4"/>
  <c r="L4" i="4" s="1"/>
  <c r="K3" i="4"/>
  <c r="M22" i="5"/>
  <c r="AB22" i="5" s="1"/>
  <c r="M21" i="5"/>
  <c r="AB21" i="5" s="1"/>
  <c r="M20" i="5"/>
  <c r="AB20" i="5" s="1"/>
  <c r="M19" i="5"/>
  <c r="AB19" i="5" s="1"/>
  <c r="M18" i="5"/>
  <c r="M17" i="5"/>
  <c r="M16" i="5"/>
  <c r="M15" i="5"/>
  <c r="L14" i="5"/>
  <c r="M14" i="5" s="1"/>
  <c r="M13" i="5"/>
  <c r="M12" i="5"/>
  <c r="M11" i="5"/>
  <c r="M10" i="5"/>
  <c r="L9" i="5"/>
  <c r="M9" i="5" s="1"/>
  <c r="L8" i="5"/>
  <c r="L7" i="5"/>
  <c r="L6" i="5"/>
  <c r="L5" i="5"/>
  <c r="L4" i="5"/>
  <c r="L3" i="5"/>
  <c r="M3" i="5" s="1"/>
  <c r="L20" i="3"/>
  <c r="AA20" i="3" s="1"/>
  <c r="K19" i="3"/>
  <c r="K18" i="3"/>
  <c r="K17" i="3"/>
  <c r="K16" i="3"/>
  <c r="K15" i="3"/>
  <c r="K14" i="3"/>
  <c r="K13" i="3"/>
  <c r="K12" i="3"/>
  <c r="L11" i="3"/>
  <c r="AA11" i="3" s="1"/>
  <c r="L10" i="3"/>
  <c r="AA10" i="3" s="1"/>
  <c r="L9" i="3"/>
  <c r="AA9" i="3" s="1"/>
  <c r="K8" i="3"/>
  <c r="K7" i="3"/>
  <c r="K6" i="3"/>
  <c r="L5" i="3"/>
  <c r="AA5" i="3" s="1"/>
  <c r="K4" i="3"/>
  <c r="K3" i="3"/>
  <c r="L3" i="3" s="1"/>
  <c r="Q3" i="4" l="1"/>
  <c r="Q7" i="4"/>
  <c r="L8" i="4"/>
  <c r="L11" i="4"/>
  <c r="B24" i="7"/>
  <c r="K14" i="4"/>
  <c r="K16" i="4"/>
  <c r="Q4" i="4"/>
  <c r="L5" i="4"/>
  <c r="Q9" i="4"/>
  <c r="L10" i="4"/>
  <c r="L6" i="4"/>
  <c r="L7" i="4"/>
  <c r="E24" i="7"/>
  <c r="E25" i="7"/>
  <c r="E26" i="7"/>
  <c r="K15" i="4"/>
  <c r="L7" i="3"/>
  <c r="AA7" i="3" s="1"/>
  <c r="X7" i="3"/>
  <c r="Y7" i="3"/>
  <c r="Z7" i="3" s="1"/>
  <c r="L13" i="3"/>
  <c r="X13" i="3"/>
  <c r="AA13" i="3"/>
  <c r="Y13" i="3"/>
  <c r="Z13" i="3" s="1"/>
  <c r="L15" i="3"/>
  <c r="AA15" i="3" s="1"/>
  <c r="X15" i="3"/>
  <c r="Y15" i="3"/>
  <c r="Z15" i="3" s="1"/>
  <c r="Q17" i="3"/>
  <c r="X17" i="3" s="1"/>
  <c r="Y17" i="3"/>
  <c r="Z17" i="3" s="1"/>
  <c r="Q19" i="3"/>
  <c r="X19" i="3" s="1"/>
  <c r="Y19" i="3"/>
  <c r="Z19" i="3" s="1"/>
  <c r="L4" i="3"/>
  <c r="AA4" i="3" s="1"/>
  <c r="Y4" i="3"/>
  <c r="Z4" i="3" s="1"/>
  <c r="X4" i="3"/>
  <c r="L6" i="3"/>
  <c r="AA6" i="3" s="1"/>
  <c r="Y6" i="3"/>
  <c r="Z6" i="3" s="1"/>
  <c r="X6" i="3"/>
  <c r="L8" i="3"/>
  <c r="AA8" i="3" s="1"/>
  <c r="Y8" i="3"/>
  <c r="Z8" i="3" s="1"/>
  <c r="X8" i="3"/>
  <c r="Q12" i="3"/>
  <c r="X12" i="3" s="1"/>
  <c r="Y12" i="3"/>
  <c r="Z12" i="3" s="1"/>
  <c r="L14" i="3"/>
  <c r="AA14" i="3" s="1"/>
  <c r="Y14" i="3"/>
  <c r="Z14" i="3" s="1"/>
  <c r="X14" i="3"/>
  <c r="L16" i="3"/>
  <c r="AA16" i="3" s="1"/>
  <c r="Y16" i="3"/>
  <c r="Z16" i="3" s="1"/>
  <c r="L18" i="3"/>
  <c r="AA18" i="3" s="1"/>
  <c r="Y18" i="3"/>
  <c r="Z18" i="3" s="1"/>
  <c r="L19" i="3"/>
  <c r="AA19" i="3" s="1"/>
  <c r="M5" i="5"/>
  <c r="Y5" i="5"/>
  <c r="AB5" i="5"/>
  <c r="Z5" i="5"/>
  <c r="AA5" i="5" s="1"/>
  <c r="M7" i="5"/>
  <c r="AB7" i="5" s="1"/>
  <c r="Y7" i="5"/>
  <c r="Z7" i="5"/>
  <c r="AA7" i="5" s="1"/>
  <c r="M4" i="5"/>
  <c r="AB4" i="5" s="1"/>
  <c r="Z4" i="5"/>
  <c r="AA4" i="5" s="1"/>
  <c r="Y4" i="5"/>
  <c r="M6" i="5"/>
  <c r="AB6" i="5" s="1"/>
  <c r="Z6" i="5"/>
  <c r="AA6" i="5" s="1"/>
  <c r="Y6" i="5"/>
  <c r="M8" i="5"/>
  <c r="AB8" i="5" s="1"/>
  <c r="Z8" i="5"/>
  <c r="AA8" i="5" s="1"/>
  <c r="Y8" i="5"/>
  <c r="L3" i="4"/>
  <c r="Q5" i="4"/>
  <c r="Q8" i="4"/>
  <c r="L12" i="3"/>
  <c r="AA12" i="3" s="1"/>
  <c r="L17" i="3"/>
  <c r="AA17" i="3" s="1"/>
  <c r="Q16" i="3"/>
  <c r="X16" i="3" s="1"/>
  <c r="Q18" i="3"/>
  <c r="X18" i="3" s="1"/>
  <c r="L14" i="4" l="1"/>
  <c r="AA14" i="4" s="1"/>
  <c r="L15" i="4"/>
  <c r="D25" i="7"/>
  <c r="D24" i="7"/>
  <c r="L16" i="4"/>
  <c r="D26" i="7"/>
  <c r="Q14" i="4"/>
  <c r="I25" i="7"/>
  <c r="I24" i="7"/>
  <c r="Q15" i="4"/>
  <c r="I55" i="5"/>
  <c r="H21" i="3"/>
  <c r="B16" i="7" l="1"/>
  <c r="Q21" i="3"/>
  <c r="P21" i="3"/>
  <c r="N21" i="3"/>
  <c r="J21" i="3"/>
  <c r="W21" i="3" l="1"/>
  <c r="V21" i="3"/>
  <c r="U21" i="3"/>
  <c r="T21" i="3"/>
  <c r="S21" i="3"/>
  <c r="R21" i="3"/>
  <c r="H16" i="7" l="1"/>
  <c r="I16" i="7"/>
  <c r="J16" i="7"/>
  <c r="K16" i="7"/>
  <c r="L16" i="7"/>
  <c r="M16" i="7"/>
  <c r="N16" i="7"/>
  <c r="O16" i="7"/>
  <c r="G17" i="7"/>
  <c r="H17" i="7"/>
  <c r="I17" i="7"/>
  <c r="J17" i="7"/>
  <c r="K17" i="7"/>
  <c r="L17" i="7"/>
  <c r="M17" i="7"/>
  <c r="N17" i="7"/>
  <c r="O17" i="7"/>
  <c r="H18" i="7"/>
  <c r="I18" i="7"/>
  <c r="J18" i="7"/>
  <c r="K18" i="7"/>
  <c r="L18" i="7"/>
  <c r="M18" i="7"/>
  <c r="N18" i="7"/>
  <c r="O18" i="7"/>
  <c r="G19" i="7"/>
  <c r="H19" i="7"/>
  <c r="I19" i="7"/>
  <c r="J19" i="7"/>
  <c r="K19" i="7"/>
  <c r="L19" i="7"/>
  <c r="M19" i="7"/>
  <c r="N19" i="7"/>
  <c r="O19" i="7"/>
  <c r="F19" i="7"/>
  <c r="F18" i="7"/>
  <c r="F17" i="7"/>
  <c r="H12" i="7"/>
  <c r="I12" i="7"/>
  <c r="J12" i="7"/>
  <c r="K12" i="7"/>
  <c r="L12" i="7"/>
  <c r="M12" i="7"/>
  <c r="N12" i="7"/>
  <c r="O12" i="7"/>
  <c r="H13" i="7"/>
  <c r="I13" i="7"/>
  <c r="J13" i="7"/>
  <c r="K13" i="7"/>
  <c r="L13" i="7"/>
  <c r="M13" i="7"/>
  <c r="N13" i="7"/>
  <c r="O13" i="7"/>
  <c r="H14" i="7"/>
  <c r="I14" i="7"/>
  <c r="J14" i="7"/>
  <c r="K14" i="7"/>
  <c r="L14" i="7"/>
  <c r="M14" i="7"/>
  <c r="N14" i="7"/>
  <c r="O14" i="7"/>
  <c r="H15" i="7"/>
  <c r="I15" i="7"/>
  <c r="J15" i="7"/>
  <c r="K15" i="7"/>
  <c r="L15" i="7"/>
  <c r="M15" i="7"/>
  <c r="N15" i="7"/>
  <c r="O15" i="7"/>
  <c r="G15" i="7"/>
  <c r="G13" i="7"/>
  <c r="B19" i="7"/>
  <c r="B18" i="7"/>
  <c r="B17" i="7"/>
  <c r="B15" i="7"/>
  <c r="B14" i="7"/>
  <c r="C16" i="7"/>
  <c r="F16" i="7"/>
  <c r="C19" i="7"/>
  <c r="C18" i="7"/>
  <c r="C17" i="7"/>
  <c r="F15" i="7"/>
  <c r="F14" i="7"/>
  <c r="F13" i="7"/>
  <c r="C15" i="7"/>
  <c r="C14" i="7"/>
  <c r="C13" i="7"/>
  <c r="F12" i="7"/>
  <c r="C12" i="7"/>
  <c r="B13" i="7"/>
  <c r="F43" i="7" l="1"/>
  <c r="H42" i="7"/>
  <c r="M42" i="7"/>
  <c r="I42" i="7"/>
  <c r="C42" i="7"/>
  <c r="C43" i="7"/>
  <c r="O42" i="7"/>
  <c r="K42" i="7"/>
  <c r="L43" i="7"/>
  <c r="H43" i="7"/>
  <c r="M43" i="7"/>
  <c r="I43" i="7"/>
  <c r="N43" i="7"/>
  <c r="J43" i="7"/>
  <c r="L42" i="7"/>
  <c r="F42" i="7"/>
  <c r="N42" i="7"/>
  <c r="J42" i="7"/>
  <c r="O43" i="7"/>
  <c r="K43" i="7"/>
  <c r="R55" i="5"/>
  <c r="S55" i="5"/>
  <c r="T55" i="5"/>
  <c r="U55" i="5"/>
  <c r="V55" i="5"/>
  <c r="W55" i="5"/>
  <c r="X55" i="5"/>
  <c r="R56" i="5"/>
  <c r="S56" i="5"/>
  <c r="T56" i="5"/>
  <c r="U56" i="5"/>
  <c r="V56" i="5"/>
  <c r="W56" i="5"/>
  <c r="X56" i="5"/>
  <c r="R57" i="5"/>
  <c r="S57" i="5"/>
  <c r="T57" i="5"/>
  <c r="U57" i="5"/>
  <c r="V57" i="5"/>
  <c r="W57" i="5"/>
  <c r="X57" i="5"/>
  <c r="R58" i="5"/>
  <c r="S58" i="5"/>
  <c r="T58" i="5"/>
  <c r="U58" i="5"/>
  <c r="V58" i="5"/>
  <c r="W58" i="5"/>
  <c r="X58" i="5"/>
  <c r="Q58" i="5"/>
  <c r="Q57" i="5"/>
  <c r="Q56" i="5"/>
  <c r="Q55" i="5"/>
  <c r="P58" i="5"/>
  <c r="P56" i="5"/>
  <c r="O58" i="5"/>
  <c r="O57" i="5"/>
  <c r="O56" i="5"/>
  <c r="O55" i="5"/>
  <c r="K58" i="5"/>
  <c r="K57" i="5"/>
  <c r="K56" i="5"/>
  <c r="K55" i="5"/>
  <c r="P22" i="3"/>
  <c r="Q22" i="3"/>
  <c r="R22" i="3"/>
  <c r="S22" i="3"/>
  <c r="T22" i="3"/>
  <c r="U22" i="3"/>
  <c r="V22" i="3"/>
  <c r="W22" i="3"/>
  <c r="P23" i="3"/>
  <c r="Q23" i="3"/>
  <c r="R23" i="3"/>
  <c r="S23" i="3"/>
  <c r="T23" i="3"/>
  <c r="U23" i="3"/>
  <c r="V23" i="3"/>
  <c r="W23" i="3"/>
  <c r="P24" i="3"/>
  <c r="Q24" i="3"/>
  <c r="R24" i="3"/>
  <c r="S24" i="3"/>
  <c r="T24" i="3"/>
  <c r="U24" i="3"/>
  <c r="V24" i="3"/>
  <c r="W24" i="3"/>
  <c r="O22" i="3"/>
  <c r="O24" i="3"/>
  <c r="N24" i="3"/>
  <c r="N23" i="3"/>
  <c r="N22" i="3"/>
  <c r="J24" i="3"/>
  <c r="J23" i="3"/>
  <c r="J22" i="3"/>
  <c r="H24" i="3"/>
  <c r="H23" i="3"/>
  <c r="H22" i="3"/>
  <c r="C45" i="7" l="1"/>
  <c r="F45" i="7"/>
  <c r="H45" i="7"/>
  <c r="J45" i="7"/>
  <c r="K45" i="7"/>
  <c r="L45" i="7"/>
  <c r="M45" i="7"/>
  <c r="N45" i="7"/>
  <c r="O45" i="7"/>
  <c r="I45" i="7" l="1"/>
  <c r="B31" i="7"/>
  <c r="B32" i="7"/>
  <c r="C32" i="7"/>
  <c r="C30" i="7" l="1"/>
  <c r="C46" i="7"/>
  <c r="C31" i="7"/>
  <c r="E19" i="7" l="1"/>
  <c r="C47" i="7"/>
  <c r="B46" i="7"/>
  <c r="L58" i="5"/>
  <c r="D19" i="7" l="1"/>
  <c r="M58" i="5"/>
  <c r="D32" i="7"/>
  <c r="D46" i="7" l="1"/>
  <c r="B30" i="7" l="1"/>
  <c r="B47" i="7" s="1"/>
  <c r="B45" i="7"/>
  <c r="E45" i="7"/>
  <c r="D31" i="7"/>
  <c r="D30" i="7" l="1"/>
  <c r="D47" i="7" s="1"/>
  <c r="D45" i="7"/>
  <c r="G45" i="7"/>
  <c r="E18" i="7" l="1"/>
  <c r="L57" i="5"/>
  <c r="P55" i="5" l="1"/>
  <c r="G16" i="7"/>
  <c r="P57" i="5"/>
  <c r="G18" i="7"/>
  <c r="D18" i="7"/>
  <c r="M57" i="5"/>
  <c r="G43" i="7" l="1"/>
  <c r="E13" i="7"/>
  <c r="K22" i="3"/>
  <c r="E17" i="7"/>
  <c r="B43" i="7"/>
  <c r="E16" i="7"/>
  <c r="L56" i="5"/>
  <c r="L55" i="5"/>
  <c r="Z3" i="5"/>
  <c r="AA3" i="5" s="1"/>
  <c r="Y3" i="5"/>
  <c r="Y13" i="5"/>
  <c r="Z13" i="5"/>
  <c r="AA13" i="5" s="1"/>
  <c r="Y10" i="5"/>
  <c r="Z10" i="5"/>
  <c r="AA10" i="5" s="1"/>
  <c r="Z17" i="5"/>
  <c r="AA17" i="5" s="1"/>
  <c r="Y17" i="5"/>
  <c r="Z9" i="5"/>
  <c r="AA9" i="5" s="1"/>
  <c r="Y9" i="5"/>
  <c r="Y16" i="5"/>
  <c r="Z16" i="5"/>
  <c r="AA16" i="5" s="1"/>
  <c r="Y14" i="5"/>
  <c r="Z14" i="5"/>
  <c r="AA14" i="5" s="1"/>
  <c r="Y11" i="5"/>
  <c r="Z11" i="5"/>
  <c r="AA11" i="5" s="1"/>
  <c r="Y12" i="5"/>
  <c r="Z12" i="5"/>
  <c r="AA12" i="5" s="1"/>
  <c r="Z15" i="5"/>
  <c r="AA15" i="5" s="1"/>
  <c r="Y15" i="5"/>
  <c r="AB12" i="5"/>
  <c r="AB14" i="5"/>
  <c r="AB11" i="5"/>
  <c r="AB18" i="5"/>
  <c r="Y18" i="5"/>
  <c r="Z18" i="5"/>
  <c r="AA18" i="5" s="1"/>
  <c r="AB17" i="5"/>
  <c r="X3" i="3"/>
  <c r="Y3" i="3"/>
  <c r="Z3" i="3" s="1"/>
  <c r="K21" i="3"/>
  <c r="E12" i="7" l="1"/>
  <c r="E43" i="7"/>
  <c r="D13" i="7"/>
  <c r="L22" i="3"/>
  <c r="AA3" i="3"/>
  <c r="AB3" i="5"/>
  <c r="D17" i="7"/>
  <c r="D16" i="7"/>
  <c r="M56" i="5"/>
  <c r="M55" i="5"/>
  <c r="E14" i="7"/>
  <c r="K23" i="3"/>
  <c r="E15" i="7"/>
  <c r="K24" i="3"/>
  <c r="B12" i="7"/>
  <c r="B42" i="7" s="1"/>
  <c r="AB10" i="5"/>
  <c r="AB13" i="5"/>
  <c r="AB15" i="5"/>
  <c r="AB9" i="5"/>
  <c r="AB16" i="5"/>
  <c r="O21" i="3"/>
  <c r="L21" i="3" l="1"/>
  <c r="E42" i="7"/>
  <c r="D43" i="7"/>
  <c r="D15" i="7"/>
  <c r="L24" i="3"/>
  <c r="D14" i="7"/>
  <c r="L23" i="3"/>
  <c r="G14" i="7"/>
  <c r="G12" i="7"/>
  <c r="O23" i="3"/>
  <c r="D12" i="7"/>
  <c r="P28" i="7"/>
  <c r="G42" i="7" l="1"/>
  <c r="D42" i="7"/>
  <c r="Q29" i="7"/>
  <c r="P29" i="7"/>
  <c r="Q28" i="7"/>
  <c r="Q26" i="7"/>
  <c r="P26" i="7"/>
  <c r="Q25" i="7"/>
  <c r="P25" i="7"/>
  <c r="O32" i="7"/>
  <c r="N32" i="7"/>
  <c r="M32" i="7"/>
  <c r="L32" i="7"/>
  <c r="K32" i="7"/>
  <c r="J32" i="7"/>
  <c r="I32" i="7"/>
  <c r="H32" i="7"/>
  <c r="G32" i="7"/>
  <c r="F32" i="7"/>
  <c r="E32" i="7"/>
  <c r="O31" i="7"/>
  <c r="N31" i="7"/>
  <c r="M31" i="7"/>
  <c r="L31" i="7"/>
  <c r="K31" i="7"/>
  <c r="J31" i="7"/>
  <c r="I31" i="7"/>
  <c r="H31" i="7"/>
  <c r="G31" i="7"/>
  <c r="F31" i="7"/>
  <c r="E31" i="7"/>
  <c r="O22" i="7"/>
  <c r="N22" i="7"/>
  <c r="M22" i="7"/>
  <c r="L22" i="7"/>
  <c r="K22" i="7"/>
  <c r="J22" i="7"/>
  <c r="I22" i="7"/>
  <c r="H22" i="7"/>
  <c r="G22" i="7"/>
  <c r="F22" i="7"/>
  <c r="C22" i="7"/>
  <c r="C35" i="7" s="1"/>
  <c r="B22" i="7"/>
  <c r="B35" i="7" s="1"/>
  <c r="B40" i="7" s="1"/>
  <c r="O21" i="7"/>
  <c r="N21" i="7"/>
  <c r="M21" i="7"/>
  <c r="L21" i="7"/>
  <c r="K21" i="7"/>
  <c r="K34" i="7" s="1"/>
  <c r="K39" i="7" s="1"/>
  <c r="J21" i="7"/>
  <c r="I21" i="7"/>
  <c r="H21" i="7"/>
  <c r="G21" i="7"/>
  <c r="G34" i="7" s="1"/>
  <c r="G39" i="7" s="1"/>
  <c r="F21" i="7"/>
  <c r="E21" i="7"/>
  <c r="D21" i="7"/>
  <c r="C21" i="7"/>
  <c r="C34" i="7" s="1"/>
  <c r="B21" i="7"/>
  <c r="AA24" i="3"/>
  <c r="Y58" i="5"/>
  <c r="Y56" i="5"/>
  <c r="Q19" i="7"/>
  <c r="P19" i="7"/>
  <c r="Q17" i="7"/>
  <c r="P17" i="7"/>
  <c r="Q15" i="7"/>
  <c r="P15" i="7"/>
  <c r="Q13" i="7"/>
  <c r="P13" i="7"/>
  <c r="I35" i="7" l="1"/>
  <c r="I40" i="7" s="1"/>
  <c r="M35" i="7"/>
  <c r="M40" i="7" s="1"/>
  <c r="G35" i="7"/>
  <c r="G40" i="7" s="1"/>
  <c r="K35" i="7"/>
  <c r="K40" i="7" s="1"/>
  <c r="O35" i="7"/>
  <c r="O40" i="7" s="1"/>
  <c r="C39" i="7"/>
  <c r="O34" i="7"/>
  <c r="B34" i="7"/>
  <c r="B39" i="7" s="1"/>
  <c r="F34" i="7"/>
  <c r="J34" i="7"/>
  <c r="J39" i="7" s="1"/>
  <c r="N34" i="7"/>
  <c r="F35" i="7"/>
  <c r="F40" i="7" s="1"/>
  <c r="J35" i="7"/>
  <c r="J40" i="7" s="1"/>
  <c r="N35" i="7"/>
  <c r="N40" i="7" s="1"/>
  <c r="E34" i="7"/>
  <c r="E39" i="7" s="1"/>
  <c r="I34" i="7"/>
  <c r="I39" i="7" s="1"/>
  <c r="M34" i="7"/>
  <c r="M39" i="7" s="1"/>
  <c r="C40" i="7"/>
  <c r="D34" i="7"/>
  <c r="D39" i="7" s="1"/>
  <c r="H34" i="7"/>
  <c r="H39" i="7" s="1"/>
  <c r="L34" i="7"/>
  <c r="L39" i="7" s="1"/>
  <c r="H35" i="7"/>
  <c r="H40" i="7" s="1"/>
  <c r="L35" i="7"/>
  <c r="L40" i="7" s="1"/>
  <c r="Y41" i="6"/>
  <c r="AB41" i="6"/>
  <c r="AB56" i="5"/>
  <c r="AB58" i="5"/>
  <c r="X24" i="3"/>
  <c r="AA15" i="4"/>
  <c r="P32" i="7"/>
  <c r="Q32" i="7"/>
  <c r="Q31" i="7"/>
  <c r="P31" i="7"/>
  <c r="P21" i="7"/>
  <c r="Q21" i="7"/>
  <c r="X15" i="4"/>
  <c r="P34" i="7" l="1"/>
  <c r="Q34" i="7"/>
  <c r="N39" i="7"/>
  <c r="F39" i="7"/>
  <c r="O39" i="7"/>
  <c r="Q18" i="7"/>
  <c r="O23" i="7"/>
  <c r="O36" i="7" s="1"/>
  <c r="O41" i="7" s="1"/>
  <c r="N23" i="7"/>
  <c r="N36" i="7" s="1"/>
  <c r="N41" i="7" s="1"/>
  <c r="M23" i="7"/>
  <c r="M36" i="7" s="1"/>
  <c r="M41" i="7" s="1"/>
  <c r="L23" i="7"/>
  <c r="L36" i="7" s="1"/>
  <c r="L41" i="7" s="1"/>
  <c r="K23" i="7"/>
  <c r="K36" i="7" s="1"/>
  <c r="K41" i="7" s="1"/>
  <c r="J23" i="7"/>
  <c r="J36" i="7" s="1"/>
  <c r="J41" i="7" s="1"/>
  <c r="I23" i="7"/>
  <c r="I36" i="7" s="1"/>
  <c r="I41" i="7" s="1"/>
  <c r="H23" i="7"/>
  <c r="H36" i="7" s="1"/>
  <c r="H41" i="7" s="1"/>
  <c r="G23" i="7"/>
  <c r="G36" i="7" s="1"/>
  <c r="G41" i="7" s="1"/>
  <c r="F23" i="7"/>
  <c r="F36" i="7" s="1"/>
  <c r="F41" i="7" s="1"/>
  <c r="E23" i="7"/>
  <c r="E36" i="7" s="1"/>
  <c r="D23" i="7"/>
  <c r="D36" i="7" s="1"/>
  <c r="D41" i="7" s="1"/>
  <c r="C23" i="7"/>
  <c r="C36" i="7" s="1"/>
  <c r="B23" i="7"/>
  <c r="B36" i="7" s="1"/>
  <c r="B41" i="7" s="1"/>
  <c r="O46" i="7"/>
  <c r="N46" i="7"/>
  <c r="M46" i="7"/>
  <c r="L46" i="7"/>
  <c r="K46" i="7"/>
  <c r="J46" i="7"/>
  <c r="I46" i="7"/>
  <c r="H46" i="7"/>
  <c r="G46" i="7"/>
  <c r="F46" i="7"/>
  <c r="E46" i="7"/>
  <c r="AB40" i="6" l="1"/>
  <c r="Q36" i="7"/>
  <c r="E41" i="7"/>
  <c r="C41" i="7"/>
  <c r="P36" i="7"/>
  <c r="Y40" i="6"/>
  <c r="AB42" i="6"/>
  <c r="Y42" i="6"/>
  <c r="Y57" i="5"/>
  <c r="X22" i="3"/>
  <c r="X23" i="3"/>
  <c r="H30" i="7"/>
  <c r="H47" i="7" s="1"/>
  <c r="L30" i="7"/>
  <c r="L47" i="7" s="1"/>
  <c r="G30" i="7"/>
  <c r="G47" i="7" s="1"/>
  <c r="K30" i="7"/>
  <c r="K47" i="7" s="1"/>
  <c r="O30" i="7"/>
  <c r="O47" i="7" s="1"/>
  <c r="P24" i="7"/>
  <c r="P18" i="7"/>
  <c r="AB57" i="5"/>
  <c r="AA22" i="3"/>
  <c r="AA23" i="3"/>
  <c r="E22" i="7"/>
  <c r="E35" i="7" s="1"/>
  <c r="Q14" i="7"/>
  <c r="Q27" i="7"/>
  <c r="P27" i="7"/>
  <c r="Q24" i="7"/>
  <c r="J30" i="7"/>
  <c r="J47" i="7" s="1"/>
  <c r="E30" i="7"/>
  <c r="E47" i="7" s="1"/>
  <c r="I30" i="7"/>
  <c r="I47" i="7" s="1"/>
  <c r="M30" i="7"/>
  <c r="M47" i="7" s="1"/>
  <c r="F30" i="7"/>
  <c r="F47" i="7" s="1"/>
  <c r="N30" i="7"/>
  <c r="N47" i="7" s="1"/>
  <c r="E40" i="7" l="1"/>
  <c r="Q35" i="7"/>
  <c r="M20" i="7"/>
  <c r="J20" i="7"/>
  <c r="N20" i="7"/>
  <c r="I20" i="7"/>
  <c r="H20" i="7"/>
  <c r="K20" i="7"/>
  <c r="O20" i="7"/>
  <c r="P14" i="7"/>
  <c r="D22" i="7"/>
  <c r="D35" i="7" s="1"/>
  <c r="Q22" i="7"/>
  <c r="P30" i="7"/>
  <c r="Q30" i="7"/>
  <c r="B20" i="7"/>
  <c r="L20" i="7"/>
  <c r="X14" i="4"/>
  <c r="O33" i="7" l="1"/>
  <c r="O38" i="7" s="1"/>
  <c r="O44" i="7"/>
  <c r="N33" i="7"/>
  <c r="N38" i="7" s="1"/>
  <c r="N44" i="7"/>
  <c r="I33" i="7"/>
  <c r="I38" i="7" s="1"/>
  <c r="I44" i="7"/>
  <c r="H33" i="7"/>
  <c r="H38" i="7" s="1"/>
  <c r="H44" i="7"/>
  <c r="B33" i="7"/>
  <c r="B38" i="7" s="1"/>
  <c r="B44" i="7"/>
  <c r="D40" i="7"/>
  <c r="P35" i="7"/>
  <c r="M33" i="7"/>
  <c r="M38" i="7" s="1"/>
  <c r="M44" i="7"/>
  <c r="L33" i="7"/>
  <c r="L38" i="7" s="1"/>
  <c r="L44" i="7"/>
  <c r="K33" i="7"/>
  <c r="K38" i="7" s="1"/>
  <c r="K44" i="7"/>
  <c r="J33" i="7"/>
  <c r="J38" i="7" s="1"/>
  <c r="J44" i="7"/>
  <c r="P22" i="7"/>
  <c r="E20" i="7" l="1"/>
  <c r="E33" i="7" l="1"/>
  <c r="E38" i="7" s="1"/>
  <c r="E44" i="7"/>
  <c r="Y55" i="5"/>
  <c r="X21" i="3"/>
  <c r="C20" i="7"/>
  <c r="Q16" i="7"/>
  <c r="F20" i="7"/>
  <c r="F44" i="7" s="1"/>
  <c r="G20" i="7"/>
  <c r="X16" i="4"/>
  <c r="P16" i="7"/>
  <c r="AA21" i="3"/>
  <c r="AB55" i="5"/>
  <c r="Q12" i="7"/>
  <c r="AA16" i="4"/>
  <c r="C33" i="7" l="1"/>
  <c r="C38" i="7" s="1"/>
  <c r="C44" i="7"/>
  <c r="G33" i="7"/>
  <c r="G38" i="7" s="1"/>
  <c r="G44" i="7"/>
  <c r="Q20" i="7"/>
  <c r="D20" i="7"/>
  <c r="D44" i="7" s="1"/>
  <c r="Q23" i="7"/>
  <c r="F33" i="7"/>
  <c r="P12" i="7"/>
  <c r="Q33" i="7" l="1"/>
  <c r="F38" i="7"/>
  <c r="P20" i="7"/>
  <c r="D33" i="7"/>
  <c r="D38" i="7" s="1"/>
  <c r="P23" i="7"/>
  <c r="P33" i="7" l="1"/>
</calcChain>
</file>

<file path=xl/sharedStrings.xml><?xml version="1.0" encoding="utf-8"?>
<sst xmlns="http://schemas.openxmlformats.org/spreadsheetml/2006/main" count="1112" uniqueCount="521">
  <si>
    <t>Podsumowanie naboru:</t>
  </si>
  <si>
    <t>Kategoria drogi - rodzaj listy</t>
  </si>
  <si>
    <t>powiatowe - lista rezerwowa</t>
  </si>
  <si>
    <t>gminne - lista rezerwowa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</si>
  <si>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</si>
  <si>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</si>
  <si>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</si>
  <si>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</si>
  <si>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</si>
  <si>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</si>
  <si>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</si>
  <si>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</si>
  <si>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</si>
  <si>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</si>
  <si>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</si>
  <si>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</si>
  <si>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</si>
  <si>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</si>
  <si>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</si>
  <si>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</si>
  <si>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</si>
  <si>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</si>
  <si>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</si>
  <si>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</si>
  <si>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</si>
  <si>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</si>
  <si>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</si>
  <si>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spr-lata</t>
  </si>
  <si>
    <t>spr-procent</t>
  </si>
  <si>
    <t>spr-dof</t>
  </si>
  <si>
    <t>spr-montaż</t>
  </si>
  <si>
    <t>TERC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</si>
  <si>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</si>
  <si>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</si>
  <si>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</si>
  <si>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</si>
  <si>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</si>
  <si>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</si>
  <si>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</si>
  <si>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</si>
  <si>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</si>
  <si>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</si>
  <si>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</si>
  <si>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</si>
  <si>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</si>
  <si>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</si>
  <si>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</si>
  <si>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</si>
  <si>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</si>
  <si>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</si>
  <si>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</si>
  <si>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</si>
  <si>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</si>
  <si>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</si>
  <si>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IB-III.3141. 49.2.2019</t>
  </si>
  <si>
    <t>IB-III.3141. 49.4.2019</t>
  </si>
  <si>
    <t>N</t>
  </si>
  <si>
    <t>K</t>
  </si>
  <si>
    <t>Powiat Gorzowski</t>
  </si>
  <si>
    <t>Powiat Żagański</t>
  </si>
  <si>
    <t>Powiat Międzyrzecki</t>
  </si>
  <si>
    <t>Powiat Zielonogórski</t>
  </si>
  <si>
    <t>Powiat Strzelecko-Drezdenecki</t>
  </si>
  <si>
    <t>Powiat Sulęciński</t>
  </si>
  <si>
    <t>Powiat Żarski</t>
  </si>
  <si>
    <t>Powiat Świebodziński</t>
  </si>
  <si>
    <t>Powiat Nowosolski</t>
  </si>
  <si>
    <t>Przebudowa dróg: ulica Kardynała Stefana Wyszyńskiego, ulica Osiedle Warniki w Kostrzynie nad Odrą wraz z infrastrukturą</t>
  </si>
  <si>
    <t>Przebudowa drogi powiatowej Nr 1339F na odcinku od węzła A2 do planowanej obwodnicy i budowa obwodnicy miasta Trzciel</t>
  </si>
  <si>
    <t>B</t>
  </si>
  <si>
    <t>P</t>
  </si>
  <si>
    <t>R</t>
  </si>
  <si>
    <t>10.2020 - 05.2022</t>
  </si>
  <si>
    <t>W</t>
  </si>
  <si>
    <t>Gmina Stare Kurowo</t>
  </si>
  <si>
    <t>Gmina Sława</t>
  </si>
  <si>
    <t>Gmina Świebodzin</t>
  </si>
  <si>
    <t>Gmina Deszczno</t>
  </si>
  <si>
    <t>Gmina Żagań</t>
  </si>
  <si>
    <t>Gmina Bogdaniec</t>
  </si>
  <si>
    <t>Gmina Nowa Sól - Miasto</t>
  </si>
  <si>
    <t>Gmina Otyń</t>
  </si>
  <si>
    <t>Gmina Bobrowice</t>
  </si>
  <si>
    <t>Gmina Gozdnica</t>
  </si>
  <si>
    <t>Gmina Zbąszynek</t>
  </si>
  <si>
    <t>Gmina Żary                   o statusie miejskim</t>
  </si>
  <si>
    <t>Gmina Dobiegniew</t>
  </si>
  <si>
    <t>Gmina Łagów</t>
  </si>
  <si>
    <t>Gmina Kożuchów</t>
  </si>
  <si>
    <t>Gmina Cybinka</t>
  </si>
  <si>
    <t>Gmina Świdnica</t>
  </si>
  <si>
    <t>Gmina Iłowa</t>
  </si>
  <si>
    <t>Gmina Sulęcin</t>
  </si>
  <si>
    <t>Gmina Zabór</t>
  </si>
  <si>
    <t>Gmina Szprotawa</t>
  </si>
  <si>
    <t>Gmina Przytoczna</t>
  </si>
  <si>
    <t>Gmina Drezdenko</t>
  </si>
  <si>
    <t>Gmina Babimost</t>
  </si>
  <si>
    <t>Gmina Międzyrzecz</t>
  </si>
  <si>
    <t>Gmina Górzyca</t>
  </si>
  <si>
    <t>Gmina Sulechów</t>
  </si>
  <si>
    <t>Gmina Kargowa</t>
  </si>
  <si>
    <t>Gmina Trzebiechów</t>
  </si>
  <si>
    <t>Gmina Witnica</t>
  </si>
  <si>
    <t>Gmina Słubice</t>
  </si>
  <si>
    <t>Gmina Szczaniec</t>
  </si>
  <si>
    <t>Gmina Czerwieńsk</t>
  </si>
  <si>
    <t>IB-III.3141. 50.20.2019</t>
  </si>
  <si>
    <t>IB-III.3141. 50.21.2019</t>
  </si>
  <si>
    <t>IB-III.3141. 50.23.2019</t>
  </si>
  <si>
    <t>IB-III.3141. 50.39.2019</t>
  </si>
  <si>
    <t>IB-III.3141. 50.40.2019</t>
  </si>
  <si>
    <t>IB-III.3141. 50.42.2019</t>
  </si>
  <si>
    <t>IB-III.3141. 50.49.2019</t>
  </si>
  <si>
    <t>IB-III.3141. 50.51.2019</t>
  </si>
  <si>
    <t>Przebudowa ulicy Pierwszej Brygady w Drezdenku</t>
  </si>
  <si>
    <t>Budowa ul. H. Sienkiewicza i ul. Cz. Miłosza w Zbąszynku</t>
  </si>
  <si>
    <t>Budowa ul. B. Prusa i ul. Zachodniej - etap III w Zbąszynku</t>
  </si>
  <si>
    <t>Rozbudowa ul. Sarniej i ul. Dziewina w Żarach</t>
  </si>
  <si>
    <t>Remont ulic Mickiewicza, Kościelnej i Kościuszki w miejscowości Iłowa</t>
  </si>
  <si>
    <t>Budowa drogi gminnej - ul. Wiśniowej wraz z budową odwodnienia i oświetlenia drogowego w m. Droszków, gm. Zabór</t>
  </si>
  <si>
    <t>04.2020 - 12.2022</t>
  </si>
  <si>
    <t>0806032</t>
  </si>
  <si>
    <t>0812013</t>
  </si>
  <si>
    <t>Powiat Wschowski</t>
  </si>
  <si>
    <t>0808053</t>
  </si>
  <si>
    <t>0801032</t>
  </si>
  <si>
    <t>0810092</t>
  </si>
  <si>
    <t>0801022</t>
  </si>
  <si>
    <t>0804011</t>
  </si>
  <si>
    <t>0804073</t>
  </si>
  <si>
    <t>0802022</t>
  </si>
  <si>
    <t>Powiat Krośnieński</t>
  </si>
  <si>
    <t>0805022</t>
  </si>
  <si>
    <t>0810011</t>
  </si>
  <si>
    <t>0808063</t>
  </si>
  <si>
    <t>0811021</t>
  </si>
  <si>
    <t>0806013</t>
  </si>
  <si>
    <t>0808022</t>
  </si>
  <si>
    <t>0810021</t>
  </si>
  <si>
    <t>0804043</t>
  </si>
  <si>
    <t>0805013</t>
  </si>
  <si>
    <t>Powiat Słubicki</t>
  </si>
  <si>
    <t>0810043</t>
  </si>
  <si>
    <t>0807043</t>
  </si>
  <si>
    <t>0809092</t>
  </si>
  <si>
    <t>0810073</t>
  </si>
  <si>
    <t>0803032</t>
  </si>
  <si>
    <t>0804052</t>
  </si>
  <si>
    <t>0806023</t>
  </si>
  <si>
    <t>0809013</t>
  </si>
  <si>
    <t>0803023</t>
  </si>
  <si>
    <t>0809063</t>
  </si>
  <si>
    <t>0809043</t>
  </si>
  <si>
    <t>0809082</t>
  </si>
  <si>
    <t>0804082</t>
  </si>
  <si>
    <t>0801073</t>
  </si>
  <si>
    <t>0805053</t>
  </si>
  <si>
    <t>0808042</t>
  </si>
  <si>
    <t>0809033</t>
  </si>
  <si>
    <t>Rozbudowa drogi gminnej Nr 103573F w Szprotawie</t>
  </si>
  <si>
    <t>IB-III.3141. 20.73.2019</t>
  </si>
  <si>
    <t>Rozbudowa dróg gminnych Nr 005947F, Nr 005943 i Nr 005935F w Wiechlicach</t>
  </si>
  <si>
    <t>IB-III.3141. 20.74.2019</t>
  </si>
  <si>
    <t>Gmina Strzelce Krajeńskie</t>
  </si>
  <si>
    <t>0806043</t>
  </si>
  <si>
    <t>Rozbudowa drogi gminnej ul. Zielonogórskiej w Zbąszynku</t>
  </si>
  <si>
    <t>IB-III.3141. 20.39.2019</t>
  </si>
  <si>
    <t>Budowa drogi gminnej wraz z odwodnieniem i oświetleniem w Międzyrzeczu na działkach nr 675/59, 675/30, 675/51, 675/8, 675/111, 78, 675/106 i 35/189 - obręb geodezyjny Międzyrzecz 1</t>
  </si>
  <si>
    <t>Przebudowa drogi gminnej ul. Jana Paska w Sulęcinie</t>
  </si>
  <si>
    <t xml:space="preserve">ZATWIERDZAM
</t>
  </si>
  <si>
    <t>RAZEM listy, z tego:</t>
  </si>
  <si>
    <t>RAZEM listy rezerwowe, z tego:</t>
  </si>
  <si>
    <t>Długość odcinka 
(w km)</t>
  </si>
  <si>
    <t>Lp.</t>
  </si>
  <si>
    <t>Zadanie nowe/wieloletnie [N/W]</t>
  </si>
  <si>
    <t>08.2020 - 06.2022</t>
  </si>
  <si>
    <t>12.2019 - 12.2026</t>
  </si>
  <si>
    <t>12.2019 - 12.2022</t>
  </si>
  <si>
    <t>IB-III.3141. 34.3.2020</t>
  </si>
  <si>
    <t>Rozbudowa drogi powiatowej nr 1011F Sława - Krzepielów - etap I</t>
  </si>
  <si>
    <t>01.2021 -12.2022</t>
  </si>
  <si>
    <t>IB-III.3141. 34.9.2020</t>
  </si>
  <si>
    <t>Przebudowa wraz z rozbudową drogi powiatowej nr 1398F na odcinku Borek-Brzozowiec w Gminie Deszczno</t>
  </si>
  <si>
    <t>IB-III.3141. 34.12.2020</t>
  </si>
  <si>
    <t>Przebudowa drogi powiatowej nr 1201F na odcinku Krężoły - Buków wraz ze skrzyżowaniem w m. Buków</t>
  </si>
  <si>
    <t>06.2021 - 11.2023</t>
  </si>
  <si>
    <t>IB-III.3141. 34.16.2020</t>
  </si>
  <si>
    <t>Przebudowa drogi powiatowej Nr 1278F na odc. Miechów - Sulęcin (etap I)</t>
  </si>
  <si>
    <t>IB-III.3141. 34.17.2020</t>
  </si>
  <si>
    <t>Przebudowa drogi powiatowej Nr 1231F Wilkowo - Borów - Ołobok - odcinek Wilkowo - Borów</t>
  </si>
  <si>
    <t>IB-III.3141. 34.18.2020</t>
  </si>
  <si>
    <t>Przebudowa drogi powiatowej Nr 1223F Mostki - Przełazy i 1233F w miejscowości Przełazy</t>
  </si>
  <si>
    <t>Strzelecko-Drezdenecki</t>
  </si>
  <si>
    <t>07.2021 - 06.2022</t>
  </si>
  <si>
    <t>Gorzowski</t>
  </si>
  <si>
    <t>Nowosolski</t>
  </si>
  <si>
    <t>Zielonogórski</t>
  </si>
  <si>
    <t>Gmina Żagań o statusie miejskim</t>
  </si>
  <si>
    <t>Międzyrzecki</t>
  </si>
  <si>
    <t>IB-III.3141.  35.26.2020</t>
  </si>
  <si>
    <t>Świebodziński</t>
  </si>
  <si>
    <t>Kompleksowy system modernizacji i budowy infrastruktury drogowej w Gminie Łagów- przebudowa dróg gminnych w Łagowie - Etap II (ul. H. Sienkiewicza 003243F, ul. S. Moniuszki 003241F, ul. M. Reya 003242F)</t>
  </si>
  <si>
    <t>IB-III.3141.  35.27.2020</t>
  </si>
  <si>
    <t>Kompleksowy system modernizacji i budowy infrastruktury drogowej w Gminie Łagów - przebudowa dróg gminnych w Łagowie - Etap II (ul. Kolonia 003236F, ul. Adama Mickiewicza 003240F, ul. Marii Konopnickiej 003239F)</t>
  </si>
  <si>
    <t>Gmina Siedlisko</t>
  </si>
  <si>
    <t>Gmina Bojadła</t>
  </si>
  <si>
    <t>Gmina Żary o statusie miejskim</t>
  </si>
  <si>
    <t>Gmina Niegosławice</t>
  </si>
  <si>
    <t>IB-III.3141.  35.55.2020</t>
  </si>
  <si>
    <t>Sulęciński</t>
  </si>
  <si>
    <t>IB-III.3141.  35.68.2020</t>
  </si>
  <si>
    <t>Rozbudowa drogi gminnej w miejscowości Brody</t>
  </si>
  <si>
    <t>04.2021 - 04.2022</t>
  </si>
  <si>
    <t>IB-III.3141.  35.72.2020</t>
  </si>
  <si>
    <t>Gmina Skwierzyna</t>
  </si>
  <si>
    <t>Rozbudowa ul. Międzyrzeckiej, budowa drogi gminnej na działkach nr 514/20 i 514/37 obręb 3, budowa skrzyżowania ul. Międzyrzeckiej z budowaną drogą gminną, przebudowa skrzyżowania ul. Międzyrzeckiej z ul. Pola Międzyrzeckie oraz przebudowa ul. Pola Międzyrzeckie w Skwierzynie</t>
  </si>
  <si>
    <t>06.2021 - 07.2022</t>
  </si>
  <si>
    <t>Gmina Gubin</t>
  </si>
  <si>
    <t>IB-III.3141.  35.77.2020</t>
  </si>
  <si>
    <t>Przebudowa ulicy Kolejowej w Nowinach Wielkich, gm. Witnica</t>
  </si>
  <si>
    <t>11.2021 - 05.2023</t>
  </si>
  <si>
    <t>Gmina Bledzew</t>
  </si>
  <si>
    <t>IB-III.3141.  35.84.2020</t>
  </si>
  <si>
    <t>Przebudowa dróg gminnych w ciągu ul. Wyspiańskiego, Dąbrowskiego i Drzymały w Nowej Soli</t>
  </si>
  <si>
    <t>03.2021 - 05.2022</t>
  </si>
  <si>
    <t>IB-III.3141.  35.86.2020</t>
  </si>
  <si>
    <t>Przebudowa drogi w m. Drezdenko - ul. Poniatowskiego odcinek 1</t>
  </si>
  <si>
    <t>03.2021 -10.2022</t>
  </si>
  <si>
    <t>IB-III.3141. 35.89.2020</t>
  </si>
  <si>
    <t>Gmina Słońsk</t>
  </si>
  <si>
    <t>Budowa drogi gminnej nr 005178F w miejscowości Słońsk</t>
  </si>
  <si>
    <t>0809022</t>
  </si>
  <si>
    <t>0810062</t>
  </si>
  <si>
    <t>0803053</t>
  </si>
  <si>
    <t>0802052</t>
  </si>
  <si>
    <t>0803012</t>
  </si>
  <si>
    <t>0807032</t>
  </si>
  <si>
    <t>08.2020 - 12.2022</t>
  </si>
  <si>
    <t>Województwo: Lubuskie</t>
  </si>
  <si>
    <t>0809072</t>
  </si>
  <si>
    <t>IB-III.3141. 19.14.2019</t>
  </si>
  <si>
    <t>Remont drogi powiatowej nr 1187F na odc. od km 3+702 do km 4+188, w tym remont mostu w m. Cigacice w km 3+887 (dawniej km 3+650)</t>
  </si>
  <si>
    <t>01.2020 - 02.2022</t>
  </si>
  <si>
    <t>12.2020 - 04.2022</t>
  </si>
  <si>
    <t>0803000</t>
  </si>
  <si>
    <t>0801000</t>
  </si>
  <si>
    <t>10.2020 - 11.2022</t>
  </si>
  <si>
    <t>0809000</t>
  </si>
  <si>
    <t>12.2019 - 04.2022</t>
  </si>
  <si>
    <t>0808000</t>
  </si>
  <si>
    <t>0812000</t>
  </si>
  <si>
    <t>09.2021 - 01.2023</t>
  </si>
  <si>
    <t>0804000</t>
  </si>
  <si>
    <t>0810000</t>
  </si>
  <si>
    <t>0807000</t>
  </si>
  <si>
    <t>06.2021 - 04.2022</t>
  </si>
  <si>
    <t>Budowa skrzyżowania bezkolizyjnego w ciągu nowobudowanej obwodnicy Konradowa w nowym śladzie drogi powiatowej nr 1050F wraz z budową przyległego układu drogowego</t>
  </si>
  <si>
    <t>10.2021 - 12.2022</t>
  </si>
  <si>
    <t>Rozbudowa drogi powiatowej nr 1212F w ciągu ulicy Kosieczyńskiej i ulicy Okrężnej w Zbąszynku od km 0+069 do km 0+851</t>
  </si>
  <si>
    <t>06.2022 - 12.2023</t>
  </si>
  <si>
    <t>Przebudowa i rozbudowa drogi powiatowej nr 1013F w Lginiu - etap I</t>
  </si>
  <si>
    <t>06.2022 - 11.2023</t>
  </si>
  <si>
    <t>Przebudowa drogi powiatowej nr 3907F - ul. Słowackiego w Szprotawie</t>
  </si>
  <si>
    <t>03.2022 - 11.2023</t>
  </si>
  <si>
    <t>0806000</t>
  </si>
  <si>
    <t>Przebudowa drogi powiatowej nr 1375F w m. Bobrówko</t>
  </si>
  <si>
    <t>03 - 11.2022</t>
  </si>
  <si>
    <t>Przebudowa dróg powiatowych nr 1418F w ciągu ul. Leśnej i ul. Dworcowej i 1419F w ciągu ul. Myśliborskiej i  ul. Leśnej w m. Lubiszyn</t>
  </si>
  <si>
    <t>Wzmocnienie nawierzchni drogi powiatowej nr 1028F na odcinku Milsko - Dąbrowa</t>
  </si>
  <si>
    <t>07 - 11.2022</t>
  </si>
  <si>
    <t>Przebudowa drogi powiatowej nr 1285F w miejscowości Zaszczytowo</t>
  </si>
  <si>
    <t>0811000</t>
  </si>
  <si>
    <t>Rozbudowa drogi powiatowej nr 4601F - ul. Artylerzystów (od skrzyżowania ulic Lotników, Artylerzystów, Broni Pancernej do skrzyżowania ulic: Artylerzystów, Śródmiejska) w Żarach</t>
  </si>
  <si>
    <t>06.2022 - 06.2023</t>
  </si>
  <si>
    <t>IB-III.3141. 69.6.2021</t>
  </si>
  <si>
    <t>IB-III.3141. 69.14.2021</t>
  </si>
  <si>
    <t>IB-III.3141. 69.17.2021</t>
  </si>
  <si>
    <t>IB-III.3141. 69.18.2021</t>
  </si>
  <si>
    <t>IB-III.3141. 69.2.2021</t>
  </si>
  <si>
    <t>Powiat Strzelecko - Drezdenecki</t>
  </si>
  <si>
    <t>IB-III.3141. 69.8.2021</t>
  </si>
  <si>
    <t>IB-III.3141. 69.11.2021</t>
  </si>
  <si>
    <t>IB-III.3141. 69.12.2021</t>
  </si>
  <si>
    <t>20*</t>
  </si>
  <si>
    <t>IB-III.3141. 69.1.2021</t>
  </si>
  <si>
    <t>07.2020 - 09.2022</t>
  </si>
  <si>
    <t>8*.</t>
  </si>
  <si>
    <t>11.2020 -06.2022</t>
  </si>
  <si>
    <t>12.2020 - 11.2022</t>
  </si>
  <si>
    <t>12.2020 -11.2022</t>
  </si>
  <si>
    <t>Przebudowa ul. Lipowej wraz z budową parkingu na działce 42/12 oraz rozbudowa ul. Akacjowej w m. Przytoczna</t>
  </si>
  <si>
    <t>09.2021 - 12.2022</t>
  </si>
  <si>
    <t>08.2021 - 06.2022</t>
  </si>
  <si>
    <t>08.2021 - 08.2022</t>
  </si>
  <si>
    <t>IB-III.3141. 69.19.2021</t>
  </si>
  <si>
    <t>Przebudowa drogi powiatowej nr 1355F odcinek Brójce - Łagowiec</t>
  </si>
  <si>
    <t>03 - 10.2022</t>
  </si>
  <si>
    <t>IB-III.3141. 69.9.2021</t>
  </si>
  <si>
    <t>0805000</t>
  </si>
  <si>
    <t>Przebudowa drogi powiatowej nr 1248F Cybinka - Kłopot od km 4+150 do km 7+980, od km 9+400 do km 11+640</t>
  </si>
  <si>
    <t>01 -11.2022</t>
  </si>
  <si>
    <t>IB-III.3141. 69.4.2021</t>
  </si>
  <si>
    <t>0802000</t>
  </si>
  <si>
    <t>Przebudowa drogi powiatowej nr 1163F na odcinku Krosno Odrzańskie - Bielów</t>
  </si>
  <si>
    <t>01 - 12.2022</t>
  </si>
  <si>
    <t>IB-III.3141. 69.20.2021</t>
  </si>
  <si>
    <t>Przebudowa drogi powiatowej nr 3305F ul. Marcinkowskiego w Międzyrzeczu</t>
  </si>
  <si>
    <t>IB-III.3141. 69.15.2021</t>
  </si>
  <si>
    <t>Przebudowa z rozbudową drogi powiatowej nr 1231F Wilkowo - Borów - Ołobok odcinek Borów - Ołobok</t>
  </si>
  <si>
    <t>IB-III.3141. 69.3.2021</t>
  </si>
  <si>
    <t>Przebudowa drogi powiatowej nr 2612F ul. Legnicka w m. Gubin (0+000,00 - 0+842,80)</t>
  </si>
  <si>
    <t>06 - 12.2022</t>
  </si>
  <si>
    <t>IB-III.3141. 69.7.2021</t>
  </si>
  <si>
    <t>Remont drogi powiatowej 1405F Zdroisko - Rybakowo</t>
  </si>
  <si>
    <t>05 - 12.2022</t>
  </si>
  <si>
    <t>IB-III.3141. 69.10.2021</t>
  </si>
  <si>
    <t>Przebudowa drogi powiatowej nr 1144F na odcinku od drogi krajowej nr 32 do drogi wojewódzkiej nr 279 w m. Drzonów - etap II (odcinek I ok. 0+000 do km 0+686,10)</t>
  </si>
  <si>
    <t>06 - 11.2022</t>
  </si>
  <si>
    <t>IB-III.3141. 69.16.2021</t>
  </si>
  <si>
    <t>Przebudowa i rozbudowa drogi powiatowej nr 1013F w Lginiu - etap II</t>
  </si>
  <si>
    <t>IB-III.3141. 69.5.2021</t>
  </si>
  <si>
    <t>Rozbudowa drogi powiatowej nr 1435F na odcinku od m. Królikowice do m. Bytom Odrzański</t>
  </si>
  <si>
    <t>05.2022 - 12.2025</t>
  </si>
  <si>
    <t>IB-III.3141. 69.13.2021</t>
  </si>
  <si>
    <t>Przebudowa drogi powiatowej nr 1247F na odcinku od drogi powiatowej 1265F  m. Kownaty do drogi wojewódzkiej 138</t>
  </si>
  <si>
    <t>Miasto Kostrzyn nad Odrą</t>
  </si>
  <si>
    <t>0801011</t>
  </si>
  <si>
    <t>Gmina Trzebiel</t>
  </si>
  <si>
    <t>0811082</t>
  </si>
  <si>
    <t>Gmina Skąpe</t>
  </si>
  <si>
    <t>0808032</t>
  </si>
  <si>
    <t>Gmina Zwierzyn</t>
  </si>
  <si>
    <t>0806052</t>
  </si>
  <si>
    <t>Gmina Rzepin</t>
  </si>
  <si>
    <t>0805043</t>
  </si>
  <si>
    <t xml:space="preserve">Gmina Nowa Sól 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</si>
  <si>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rok 2022</t>
    </r>
  </si>
  <si>
    <t xml:space="preserve">Lista zadań rekomendowanych do dofinansowania w ramach Rządowego Funduszu Rozwoju Dróg </t>
  </si>
  <si>
    <t>IB-III.3141. 68.32.2021</t>
  </si>
  <si>
    <t>Budowa południowo - zachodniej obwodnicy miasta Świebodzin - odcinek 1</t>
  </si>
  <si>
    <t>03.2022 - 12.2023</t>
  </si>
  <si>
    <t>IB-III.3141. 68.19.2021</t>
  </si>
  <si>
    <t>Przebudowa drogi ul. Reja w Kostrzynie nad Odrą</t>
  </si>
  <si>
    <t>07.2022 - 07.2024</t>
  </si>
  <si>
    <t>IB-III.3141. 68.68.2021</t>
  </si>
  <si>
    <t>Budowa drogi gminnej do terenów inwestycyjnych w południowej części Nowej soli - etap III</t>
  </si>
  <si>
    <t>IB-III.3141. 68.51.2021</t>
  </si>
  <si>
    <t>Budowa drogi C. K. Norwida wraz z oświetleniem na działkach zlokalizowanych przy ulicach: Cypriana Karola Norwida, Marii Konopnickiej i Jacka Malczewskiego w Międzyrzeczu</t>
  </si>
  <si>
    <t>05.2022 - 10.2023</t>
  </si>
  <si>
    <t>IB-III.3141. 68.89.2021</t>
  </si>
  <si>
    <t>Przebudowa drogi gminnej nr 000117F w miejscowości Zdzisław wraz z połączeniem z drogą wojewódzką nr 304</t>
  </si>
  <si>
    <t>IB-III.3141. 68.30.2021</t>
  </si>
  <si>
    <t>Przebudowa drogi gminnej nr 004816F w m. Skąpe</t>
  </si>
  <si>
    <t>04 - 09.2022</t>
  </si>
  <si>
    <t>IB-III.3141. 68.37.2021</t>
  </si>
  <si>
    <t>Przebudowa nawierzchni ul. Słonecznej w Drezdenku</t>
  </si>
  <si>
    <t>03 -12.2022</t>
  </si>
  <si>
    <t>IB-III.3141. 68.41.2021</t>
  </si>
  <si>
    <t>Przebudowa ul.Sienkiewicza, Mickiewicza i Kruczej w m. Słońsk</t>
  </si>
  <si>
    <t>10.2022 - 10.2023</t>
  </si>
  <si>
    <t>IB-III.3141. 68.64.2021</t>
  </si>
  <si>
    <t>Przebudowa drogi gminnej w miejscowości Toporów (ul. Kolejowa)</t>
  </si>
  <si>
    <t>IB-III.3141. 68.25.2021</t>
  </si>
  <si>
    <t>Przebudowa drogi ulicy Kopernika w Słubicach wraz z modernizacją skrzyżowania ul. Mickiewicza z ul. Kopernika - Etap 1</t>
  </si>
  <si>
    <t>12.2021 - 11.2022</t>
  </si>
  <si>
    <t>IB-III.3141. 68.90.2021</t>
  </si>
  <si>
    <t>Przebudowa dróg gminnych w miejscowości Żabice</t>
  </si>
  <si>
    <t>IB-III.3141. 68.29.2021</t>
  </si>
  <si>
    <t>Przebudowa drogi gminnej nr 006503F</t>
  </si>
  <si>
    <t>01.2022 - 06.2024</t>
  </si>
  <si>
    <t>IB-III.3141. 68.26.2021</t>
  </si>
  <si>
    <t>Remont drogi gminnej ul. Sulechowskiej w Trzebiechowie</t>
  </si>
  <si>
    <t>03 - 07.2022</t>
  </si>
  <si>
    <t>IB-III.3141. 68.13.2021</t>
  </si>
  <si>
    <t>Budowa drogi gminnej nr 000247F w m. Popowo</t>
  </si>
  <si>
    <t>01 - 09.2022</t>
  </si>
  <si>
    <t>IB-III.3141. 68.8.2021</t>
  </si>
  <si>
    <t>Przebudowa drogi gminnej Nr 007411F w miejscowości Dzietrzychowice</t>
  </si>
  <si>
    <t>IB-III.3141 68.4.2021</t>
  </si>
  <si>
    <t>03-11.2022</t>
  </si>
  <si>
    <t>IB-III.3141. 68.49.2021</t>
  </si>
  <si>
    <t>Przebudowa dróg gminnych w Ostrowcu, gm. Dobiegniew</t>
  </si>
  <si>
    <t>07.2022 - 06.2023</t>
  </si>
  <si>
    <t>IB-III.3141. 68.61.2021</t>
  </si>
  <si>
    <t>Przebudowa drogi gminnej nr 004316F w m. Strychy</t>
  </si>
  <si>
    <t>03 - 12.2022</t>
  </si>
  <si>
    <t>IB-III.3141. 68.74.2021</t>
  </si>
  <si>
    <t>Przebudowa ulicy Gronowej i Meliorantów w Jeninie</t>
  </si>
  <si>
    <t>05 - 11.2022</t>
  </si>
  <si>
    <t>IB-III.3141. 68.72.2021</t>
  </si>
  <si>
    <t>Przebudowa ulicy Moniuszki w Witnicy</t>
  </si>
  <si>
    <t>02.2022 - 05.2023</t>
  </si>
  <si>
    <t>IB-III.3141. 68.65.2021</t>
  </si>
  <si>
    <t>Budowa ulicy Strażackiej i Krzywej w Nietkowie w Gminie Czerwieńsk</t>
  </si>
  <si>
    <t>04 - 11.2022</t>
  </si>
  <si>
    <t>Rozbudowa drogi gminnej  w miejscowości Kalsk</t>
  </si>
  <si>
    <t>IB-III.3141. 68.59.2021</t>
  </si>
  <si>
    <t>Przebudowa drogi wewnętrznej w Bobrowicach</t>
  </si>
  <si>
    <t>IB-III.3141. 68.84.2021</t>
  </si>
  <si>
    <t>Przebudowa ulicy Południowej w Strzelcach Krajeńskich</t>
  </si>
  <si>
    <t>04 - 12.2022</t>
  </si>
  <si>
    <t>IB-III.3141. 68.83.2021</t>
  </si>
  <si>
    <t>Budowa drogi gminnej przy ul. Traugutta w Iłowej z chodnikiem i miejscami parkingowymi wraz z przebudową skrzyżowania z drogą wojewódzką nr 296</t>
  </si>
  <si>
    <t>01.2022 - 12.2023</t>
  </si>
  <si>
    <t>IB-III.3141. 68.58.2021</t>
  </si>
  <si>
    <t>Przebudowa drogi do miejscowości Krzydłowiczki - odcinek I</t>
  </si>
  <si>
    <t>02.2022 - 11.2023</t>
  </si>
  <si>
    <t>IB-III.3141. 68.71.2021</t>
  </si>
  <si>
    <t>Przebudowa drogi gminnej nr 102704F ulica Bema w m. Rzepin</t>
  </si>
  <si>
    <t>IB-III.3141. 68.53.2021</t>
  </si>
  <si>
    <t>Rozbudowa drogi gminnej nr 006301F w miejscowości Rogoziniec - etap I</t>
  </si>
  <si>
    <t>04.2022 - 04.2025</t>
  </si>
  <si>
    <t>IB-III.3141. 68.54.2021</t>
  </si>
  <si>
    <t>Przebudowa drogi gminnej - ul. Kościelnej w Zwierzynie w zakresie budowy chodnika</t>
  </si>
  <si>
    <t>05 - 10.2022</t>
  </si>
  <si>
    <t>IB-III.3141. 68.35.2021</t>
  </si>
  <si>
    <t>Budowa drogi gminnej - ul. Brzoskwiniowej wraz z budową odwodnienia i oświetlenia drogowego oraz kanału technologicznego w m. Droszków, gmina Zabór</t>
  </si>
  <si>
    <t>03.2022  - 03.2024</t>
  </si>
  <si>
    <t>IB-III.3141. 68.80.2021</t>
  </si>
  <si>
    <t>Rozbudowa ul. Jana III Sobieskiego w Skwierzynie - etap I</t>
  </si>
  <si>
    <t>IB-III.3141. 68.17.2021</t>
  </si>
  <si>
    <t>Przebudowa dróg gminnych nr 000601F oraz 000676F w miejscowości Markosice, gmina Gubin</t>
  </si>
  <si>
    <t>05.2022 - 04.2023</t>
  </si>
  <si>
    <t>IB-III.3141. 68.79.2021</t>
  </si>
  <si>
    <t>Przebudowa ul. Małoodrzańskiej w m. Urad</t>
  </si>
  <si>
    <t>04.2022 - 10.2023</t>
  </si>
  <si>
    <t>52*</t>
  </si>
  <si>
    <t>IB-III.3141. 68.88.2021</t>
  </si>
  <si>
    <t>Budowa drogi gminnej nr 100130F w miejscowości Babimost ul. Działkowa z infrastrukturą oraz połączeniem z drogami powiatowymi nr 1194F oraz nr 2101F</t>
  </si>
  <si>
    <t>IB-III.3141. 68.45.2021</t>
  </si>
  <si>
    <t>Rozbudowa drogi ul. Sportowej w Żarach</t>
  </si>
  <si>
    <t>04.2022 - 09.2023</t>
  </si>
  <si>
    <t>IB-III.3141. 68.69.2021</t>
  </si>
  <si>
    <t>Budowa dróg gminnych - ul. Polnej, ul. Truskawkowej i ul. Magnolii wraz z budową odwodnienia i oświetlenia drogowego w m. Otyń</t>
  </si>
  <si>
    <t>IB-III.3141. 68.70.2021</t>
  </si>
  <si>
    <t>Rozbudowa dróg gminnych - ulic Sienkiewicza i Tuwima w miejscowości Niedoradz</t>
  </si>
  <si>
    <t>IB-III.3141. 68.12.2021</t>
  </si>
  <si>
    <t>Przebudowa ulicy Sikorskiego w Gozdnicy</t>
  </si>
  <si>
    <t>IB-III.3141. 68.14.2021</t>
  </si>
  <si>
    <t>Budowa i przebudowa dróg gminnych wraz z budową parkingów w m. Templewo</t>
  </si>
  <si>
    <t>IB-III.3141. 68.46.2021</t>
  </si>
  <si>
    <t>Przebudowa drogi ul. Bohaterów Getta wraz z drogami przyległymi w Żarach</t>
  </si>
  <si>
    <t>03.2022 - 10.2023</t>
  </si>
  <si>
    <t>IB-III.3141. 68.48.2021</t>
  </si>
  <si>
    <t>Przebudowa drogi gminnej w  Chrapowie, gm. Dobiegniew</t>
  </si>
  <si>
    <t>07.2022 - 05.2023</t>
  </si>
  <si>
    <t>IB-III.3141. 68.50.2021</t>
  </si>
  <si>
    <t>Przebudowa drogi wraz z odwodnieniem ul. Komisji Edukacji Narodowej  w Międzyrzeczu na działkach nr 373/36, 745/5, 373/35, 746 - obręb geodezyjny nr 2</t>
  </si>
  <si>
    <t>IB-III.3141. 68.73.2021</t>
  </si>
  <si>
    <t>Przebudowa ulicy Sikorskiego w Witnicy</t>
  </si>
  <si>
    <t>IB-III.3141.  68.1.2021</t>
  </si>
  <si>
    <t xml:space="preserve">04-11.2022 </t>
  </si>
  <si>
    <t>IB-III.3141. 68.62.2021</t>
  </si>
  <si>
    <t>Budowa drogi gminnej - ul. Górnej w m. Przytoczna  - etap I</t>
  </si>
  <si>
    <t>IB-III.3141. 68.18.2021</t>
  </si>
  <si>
    <t>Przebudowa drogi gminnej wraz z budową oświetlenia w miejscowości Późna - Gmina Gubin</t>
  </si>
  <si>
    <t>05.2022 - 03.2023</t>
  </si>
  <si>
    <t>IB-III.3141. 68.55.2021</t>
  </si>
  <si>
    <t>Przebudowa drogi gminnej 005632F w miejscowości Żubrów</t>
  </si>
  <si>
    <t>IB-III.3141. 68..56.2021</t>
  </si>
  <si>
    <t>Przebudowa drogi gminnej w  m. Ostrów</t>
  </si>
  <si>
    <t>IB-III.3141. 68.78.2021</t>
  </si>
  <si>
    <t>Przebudowa ul. Młyńskiej w m. Rąpice</t>
  </si>
  <si>
    <t>IB-III.3141. 68.86.2021</t>
  </si>
  <si>
    <t>Budowa dróg gminnych (os. Nad Stawem) - odcinek I  w km 0+000,00 - 0+465,44, odcinek II w km 0+000,00 - 0+128,55 w Lubieszów wraz z budową odwodnienia drogowego</t>
  </si>
  <si>
    <t>IB-III.3141. 68.81.2021</t>
  </si>
  <si>
    <t>Rozbudowa ul. Jana III Sobieskiego w Skwierzynie - etap II - budowa odcinka drogi od km 4+59,32 do km 8+78,18</t>
  </si>
  <si>
    <t>IB-III.3141. 68.10.2021</t>
  </si>
  <si>
    <t>Remont ul. Limanowskiego w Kożuchowie</t>
  </si>
  <si>
    <t xml:space="preserve">03 - 11.2022  </t>
  </si>
  <si>
    <t>IB-III.3141. 68.31.2021</t>
  </si>
  <si>
    <t>Budowa drogi gminnej nr 003007F i dróg wewnętrznych w m. Wilkowo</t>
  </si>
  <si>
    <t>IB-III.3141. 68.39.2021</t>
  </si>
  <si>
    <t>Budowa ul. Strzeleckiej w Kargowie</t>
  </si>
  <si>
    <t>IB-III.3141. 68.87.2021</t>
  </si>
  <si>
    <t>Gmina Nowa Sól</t>
  </si>
  <si>
    <t>Przebudowa dróg gminnych w m. Jodłów</t>
  </si>
  <si>
    <t>IB-III.3141. 68.47.2021</t>
  </si>
  <si>
    <t>Budowa odcinka drogi gminnej nr 001318F w miejscowości Dziersławice</t>
  </si>
  <si>
    <t>02 - 10.2022</t>
  </si>
  <si>
    <t>IB-III.3141. 68.52.2021</t>
  </si>
  <si>
    <t>Rozbudowa drogi gminnej Nr 006301F w miejscowości Rogoziniec - etap II.</t>
  </si>
  <si>
    <t>IB-III.3141. 68.7.2021</t>
  </si>
  <si>
    <t>Przebudowa drogi gminnej na działkach 614, 612, 179/9 w miejscowości Miodnica, gmina Żagań</t>
  </si>
  <si>
    <t>IB-III.3141. 68.66 2021</t>
  </si>
  <si>
    <t>Budowa ulicy Strażackiej w miejscowości Czerwieńsk</t>
  </si>
  <si>
    <t>IB-III.3141. 68.9.2021</t>
  </si>
  <si>
    <t>Remont ul. Głogowskiej w Kożuchowie</t>
  </si>
  <si>
    <t>06.2021 - 05.2022</t>
  </si>
  <si>
    <t>IB-III.3141. 68.28.2021</t>
  </si>
  <si>
    <t>Budowa drogi gminnej nr 005335F w miejscowości Kawki - Gmina Stare Kurowo</t>
  </si>
  <si>
    <t>07 - 10.2022</t>
  </si>
  <si>
    <t>IB-III.3141. 68.63.2021</t>
  </si>
  <si>
    <t>Przebudowa drogi gminnej w m. Sieniawa (działka nr ewid. 376)</t>
  </si>
  <si>
    <t>01 - 11.2022</t>
  </si>
  <si>
    <t>IB-III.3141. 68.5.2021</t>
  </si>
  <si>
    <t>Remont dróg gminnych nr 004765F i nr 004734F w miejscowości Siedlisko</t>
  </si>
  <si>
    <t>04-11.2022</t>
  </si>
  <si>
    <t>IB-III.3141. 68.15.2021</t>
  </si>
  <si>
    <t>Przebudowa drogi gminnej nr 000543F w miejscowości Klenica w Gminie Bojadła</t>
  </si>
  <si>
    <t>IB-III.3141. 68.16.2021</t>
  </si>
  <si>
    <t>Przebudowa drogi gminnej nr 000573F w miejscowości Kartno w Gminie Bojadła</t>
  </si>
  <si>
    <t>IB-III.3141. 68.6.2021</t>
  </si>
  <si>
    <t>Remont drogi gminnej nr 004721F w miejscowości Siedlisko</t>
  </si>
  <si>
    <t>IB-III.3141. 68.60 2021</t>
  </si>
  <si>
    <t>Przebudowa odcinka drogi gminnej Nr 005716F w Ojerzycach</t>
  </si>
  <si>
    <t>IB-III.3141. 68.38.2021</t>
  </si>
  <si>
    <t>Przebudowa ul. Szkolnej w Drezdenku</t>
  </si>
  <si>
    <t>IB-III.3141. 68.42.2021</t>
  </si>
  <si>
    <t>Przebudowa drogi gminnej nr 104628F - ul. Klonowa w Żaganiu</t>
  </si>
  <si>
    <t>IB-III.3141. 68.85.2021</t>
  </si>
  <si>
    <t>Przebudowa drogi gminnej nr 003634F w miejscowości Przecław</t>
  </si>
  <si>
    <t>05 -09. 2022</t>
  </si>
  <si>
    <t>Przebudowa ulicy Długiej   w Świdnicy</t>
  </si>
  <si>
    <t>17*</t>
  </si>
  <si>
    <t>18*</t>
  </si>
  <si>
    <t>19*</t>
  </si>
  <si>
    <t>46*</t>
  </si>
  <si>
    <t>51*</t>
  </si>
  <si>
    <t>9*.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</si>
</sst>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z_ł_-;\-* #,##0.00\ _z_ł_-;_-* &quot;-&quot;??\ _z_ł_-;_-@_-"/>
    <numFmt numFmtId="165" formatCode="#,##0.00\ &quot;zł&quot;"/>
    <numFmt numFmtId="166" formatCode="#,##0.000"/>
    <numFmt numFmtId="167" formatCode="0.000"/>
    <numFmt numFmtId="168" formatCode="0.0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8" fillId="0" borderId="0" xfId="0" applyNumberFormat="1" applyFont="1" applyFill="1" applyBorder="1" applyAlignment="1"/>
    <xf numFmtId="4" fontId="8" fillId="0" borderId="0" xfId="0" applyNumberFormat="1" applyFont="1" applyBorder="1" applyAlignment="1"/>
    <xf numFmtId="0" fontId="8" fillId="0" borderId="0" xfId="0" applyFont="1" applyBorder="1"/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1" fillId="0" borderId="0" xfId="0" applyFont="1"/>
    <xf numFmtId="4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5" fontId="11" fillId="5" borderId="23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165" fontId="13" fillId="3" borderId="1" xfId="0" applyNumberFormat="1" applyFont="1" applyFill="1" applyBorder="1" applyAlignment="1">
      <alignment vertical="center"/>
    </xf>
    <xf numFmtId="165" fontId="11" fillId="4" borderId="1" xfId="0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5" fontId="11" fillId="4" borderId="22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left" vertical="center" indent="2"/>
    </xf>
    <xf numFmtId="165" fontId="13" fillId="3" borderId="2" xfId="0" applyNumberFormat="1" applyFont="1" applyFill="1" applyBorder="1" applyAlignment="1">
      <alignment vertical="center"/>
    </xf>
    <xf numFmtId="165" fontId="11" fillId="3" borderId="2" xfId="0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165" fontId="13" fillId="3" borderId="3" xfId="0" applyNumberFormat="1" applyFont="1" applyFill="1" applyBorder="1" applyAlignment="1">
      <alignment vertical="center"/>
    </xf>
    <xf numFmtId="165" fontId="11" fillId="3" borderId="3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65" fontId="11" fillId="5" borderId="28" xfId="0" applyNumberFormat="1" applyFont="1" applyFill="1" applyBorder="1" applyAlignment="1">
      <alignment vertical="center"/>
    </xf>
    <xf numFmtId="165" fontId="11" fillId="0" borderId="32" xfId="0" applyNumberFormat="1" applyFont="1" applyFill="1" applyBorder="1" applyAlignment="1">
      <alignment vertical="center"/>
    </xf>
    <xf numFmtId="165" fontId="11" fillId="0" borderId="33" xfId="0" applyNumberFormat="1" applyFont="1" applyFill="1" applyBorder="1" applyAlignment="1">
      <alignment vertical="center"/>
    </xf>
    <xf numFmtId="165" fontId="11" fillId="5" borderId="34" xfId="0" applyNumberFormat="1" applyFont="1" applyFill="1" applyBorder="1" applyAlignment="1">
      <alignment vertical="center"/>
    </xf>
    <xf numFmtId="165" fontId="11" fillId="0" borderId="31" xfId="0" applyNumberFormat="1" applyFont="1" applyFill="1" applyBorder="1" applyAlignment="1">
      <alignment vertical="center"/>
    </xf>
    <xf numFmtId="165" fontId="13" fillId="5" borderId="38" xfId="0" applyNumberFormat="1" applyFont="1" applyFill="1" applyBorder="1" applyAlignment="1">
      <alignment vertical="center"/>
    </xf>
    <xf numFmtId="165" fontId="14" fillId="3" borderId="32" xfId="0" applyNumberFormat="1" applyFont="1" applyFill="1" applyBorder="1" applyAlignment="1">
      <alignment vertical="center"/>
    </xf>
    <xf numFmtId="165" fontId="14" fillId="3" borderId="33" xfId="0" applyNumberFormat="1" applyFont="1" applyFill="1" applyBorder="1" applyAlignment="1">
      <alignment vertical="center"/>
    </xf>
    <xf numFmtId="165" fontId="14" fillId="5" borderId="34" xfId="0" applyNumberFormat="1" applyFont="1" applyFill="1" applyBorder="1" applyAlignment="1">
      <alignment vertical="center"/>
    </xf>
    <xf numFmtId="165" fontId="14" fillId="3" borderId="31" xfId="0" applyNumberFormat="1" applyFont="1" applyFill="1" applyBorder="1" applyAlignment="1">
      <alignment vertical="center"/>
    </xf>
    <xf numFmtId="165" fontId="13" fillId="3" borderId="36" xfId="0" applyNumberFormat="1" applyFont="1" applyFill="1" applyBorder="1" applyAlignment="1">
      <alignment vertical="center"/>
    </xf>
    <xf numFmtId="165" fontId="13" fillId="3" borderId="37" xfId="0" applyNumberFormat="1" applyFont="1" applyFill="1" applyBorder="1" applyAlignment="1">
      <alignment vertical="center"/>
    </xf>
    <xf numFmtId="165" fontId="13" fillId="3" borderId="35" xfId="0" applyNumberFormat="1" applyFont="1" applyFill="1" applyBorder="1" applyAlignment="1">
      <alignment vertical="center"/>
    </xf>
    <xf numFmtId="0" fontId="11" fillId="4" borderId="28" xfId="0" applyFont="1" applyFill="1" applyBorder="1" applyAlignment="1">
      <alignment vertical="center"/>
    </xf>
    <xf numFmtId="165" fontId="11" fillId="4" borderId="5" xfId="0" applyNumberFormat="1" applyFont="1" applyFill="1" applyBorder="1" applyAlignment="1">
      <alignment vertical="center"/>
    </xf>
    <xf numFmtId="165" fontId="11" fillId="4" borderId="8" xfId="0" applyNumberFormat="1" applyFont="1" applyFill="1" applyBorder="1" applyAlignment="1">
      <alignment vertical="center"/>
    </xf>
    <xf numFmtId="165" fontId="11" fillId="4" borderId="29" xfId="0" applyNumberFormat="1" applyFont="1" applyFill="1" applyBorder="1" applyAlignment="1">
      <alignment vertical="center"/>
    </xf>
    <xf numFmtId="165" fontId="11" fillId="4" borderId="30" xfId="0" applyNumberFormat="1" applyFont="1" applyFill="1" applyBorder="1" applyAlignment="1">
      <alignment vertical="center"/>
    </xf>
    <xf numFmtId="0" fontId="13" fillId="4" borderId="25" xfId="0" applyFont="1" applyFill="1" applyBorder="1" applyAlignment="1">
      <alignment horizontal="left" vertical="center" indent="2"/>
    </xf>
    <xf numFmtId="165" fontId="13" fillId="4" borderId="4" xfId="0" applyNumberFormat="1" applyFont="1" applyFill="1" applyBorder="1" applyAlignment="1">
      <alignment vertical="center"/>
    </xf>
    <xf numFmtId="165" fontId="13" fillId="4" borderId="7" xfId="0" applyNumberFormat="1" applyFont="1" applyFill="1" applyBorder="1" applyAlignment="1">
      <alignment vertical="center"/>
    </xf>
    <xf numFmtId="165" fontId="13" fillId="5" borderId="25" xfId="0" applyNumberFormat="1" applyFont="1" applyFill="1" applyBorder="1" applyAlignment="1">
      <alignment vertical="center"/>
    </xf>
    <xf numFmtId="165" fontId="13" fillId="4" borderId="26" xfId="0" applyNumberFormat="1" applyFont="1" applyFill="1" applyBorder="1" applyAlignment="1">
      <alignment vertical="center"/>
    </xf>
    <xf numFmtId="165" fontId="13" fillId="4" borderId="27" xfId="0" applyNumberFormat="1" applyFont="1" applyFill="1" applyBorder="1" applyAlignment="1">
      <alignment vertical="center"/>
    </xf>
    <xf numFmtId="165" fontId="12" fillId="6" borderId="32" xfId="0" applyNumberFormat="1" applyFont="1" applyFill="1" applyBorder="1" applyAlignment="1">
      <alignment vertical="center"/>
    </xf>
    <xf numFmtId="165" fontId="12" fillId="6" borderId="33" xfId="0" applyNumberFormat="1" applyFont="1" applyFill="1" applyBorder="1" applyAlignment="1">
      <alignment vertical="center"/>
    </xf>
    <xf numFmtId="165" fontId="12" fillId="5" borderId="34" xfId="0" applyNumberFormat="1" applyFont="1" applyFill="1" applyBorder="1" applyAlignment="1">
      <alignment vertical="center"/>
    </xf>
    <xf numFmtId="165" fontId="12" fillId="6" borderId="31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165" fontId="13" fillId="2" borderId="36" xfId="0" applyNumberFormat="1" applyFont="1" applyFill="1" applyBorder="1" applyAlignment="1">
      <alignment vertical="center"/>
    </xf>
    <xf numFmtId="165" fontId="13" fillId="2" borderId="37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vertical="center"/>
    </xf>
    <xf numFmtId="165" fontId="13" fillId="2" borderId="35" xfId="0" applyNumberFormat="1" applyFont="1" applyFill="1" applyBorder="1" applyAlignment="1">
      <alignment vertical="center"/>
    </xf>
    <xf numFmtId="165" fontId="11" fillId="2" borderId="31" xfId="0" applyNumberFormat="1" applyFont="1" applyFill="1" applyBorder="1" applyAlignment="1">
      <alignment vertical="center"/>
    </xf>
    <xf numFmtId="165" fontId="11" fillId="2" borderId="32" xfId="0" applyNumberFormat="1" applyFont="1" applyFill="1" applyBorder="1" applyAlignment="1">
      <alignment vertical="center"/>
    </xf>
    <xf numFmtId="165" fontId="11" fillId="2" borderId="33" xfId="0" applyNumberFormat="1" applyFont="1" applyFill="1" applyBorder="1" applyAlignment="1">
      <alignment vertical="center"/>
    </xf>
    <xf numFmtId="165" fontId="12" fillId="6" borderId="5" xfId="0" applyNumberFormat="1" applyFont="1" applyFill="1" applyBorder="1" applyAlignment="1">
      <alignment vertical="center"/>
    </xf>
    <xf numFmtId="165" fontId="12" fillId="6" borderId="8" xfId="0" applyNumberFormat="1" applyFont="1" applyFill="1" applyBorder="1" applyAlignment="1">
      <alignment vertical="center"/>
    </xf>
    <xf numFmtId="165" fontId="12" fillId="5" borderId="28" xfId="0" applyNumberFormat="1" applyFont="1" applyFill="1" applyBorder="1" applyAlignment="1">
      <alignment vertical="center"/>
    </xf>
    <xf numFmtId="165" fontId="12" fillId="6" borderId="29" xfId="0" applyNumberFormat="1" applyFont="1" applyFill="1" applyBorder="1" applyAlignment="1">
      <alignment vertical="center"/>
    </xf>
    <xf numFmtId="165" fontId="13" fillId="6" borderId="1" xfId="0" applyNumberFormat="1" applyFont="1" applyFill="1" applyBorder="1" applyAlignment="1">
      <alignment vertical="center"/>
    </xf>
    <xf numFmtId="165" fontId="13" fillId="6" borderId="2" xfId="0" applyNumberFormat="1" applyFont="1" applyFill="1" applyBorder="1" applyAlignment="1">
      <alignment vertical="center"/>
    </xf>
    <xf numFmtId="165" fontId="13" fillId="6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0" borderId="31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3" fillId="2" borderId="35" xfId="0" applyNumberFormat="1" applyFont="1" applyFill="1" applyBorder="1" applyAlignment="1">
      <alignment horizontal="center" vertical="center"/>
    </xf>
    <xf numFmtId="0" fontId="14" fillId="3" borderId="31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3" fillId="3" borderId="35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/>
    </xf>
    <xf numFmtId="0" fontId="11" fillId="4" borderId="29" xfId="0" applyNumberFormat="1" applyFont="1" applyFill="1" applyBorder="1" applyAlignment="1">
      <alignment horizontal="center" vertical="center"/>
    </xf>
    <xf numFmtId="0" fontId="11" fillId="4" borderId="3" xfId="0" applyNumberFormat="1" applyFont="1" applyFill="1" applyBorder="1" applyAlignment="1">
      <alignment horizontal="center" vertical="center"/>
    </xf>
    <xf numFmtId="0" fontId="13" fillId="4" borderId="26" xfId="0" applyNumberFormat="1" applyFont="1" applyFill="1" applyBorder="1" applyAlignment="1">
      <alignment horizontal="center" vertical="center"/>
    </xf>
    <xf numFmtId="0" fontId="12" fillId="6" borderId="31" xfId="0" applyNumberFormat="1" applyFont="1" applyFill="1" applyBorder="1" applyAlignment="1">
      <alignment horizontal="center" vertical="center"/>
    </xf>
    <xf numFmtId="0" fontId="13" fillId="6" borderId="3" xfId="0" applyNumberFormat="1" applyFont="1" applyFill="1" applyBorder="1" applyAlignment="1">
      <alignment horizontal="center" vertical="center"/>
    </xf>
    <xf numFmtId="0" fontId="12" fillId="6" borderId="2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34" xfId="0" applyFont="1" applyFill="1" applyBorder="1" applyAlignment="1">
      <alignment vertical="center"/>
    </xf>
    <xf numFmtId="165" fontId="11" fillId="0" borderId="40" xfId="0" applyNumberFormat="1" applyFont="1" applyFill="1" applyBorder="1" applyAlignment="1">
      <alignment vertical="center"/>
    </xf>
    <xf numFmtId="0" fontId="13" fillId="0" borderId="23" xfId="0" applyFont="1" applyFill="1" applyBorder="1" applyAlignment="1">
      <alignment horizontal="left" vertical="center" wrapText="1" indent="2"/>
    </xf>
    <xf numFmtId="165" fontId="13" fillId="2" borderId="41" xfId="0" applyNumberFormat="1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indent="2"/>
    </xf>
    <xf numFmtId="165" fontId="11" fillId="2" borderId="41" xfId="0" applyNumberFormat="1" applyFont="1" applyFill="1" applyBorder="1" applyAlignment="1">
      <alignment vertical="center"/>
    </xf>
    <xf numFmtId="0" fontId="13" fillId="0" borderId="38" xfId="0" applyFont="1" applyFill="1" applyBorder="1" applyAlignment="1">
      <alignment horizontal="left" vertical="center" indent="2"/>
    </xf>
    <xf numFmtId="165" fontId="13" fillId="2" borderId="42" xfId="0" applyNumberFormat="1" applyFont="1" applyFill="1" applyBorder="1" applyAlignment="1">
      <alignment vertical="center"/>
    </xf>
    <xf numFmtId="165" fontId="11" fillId="2" borderId="40" xfId="0" applyNumberFormat="1" applyFont="1" applyFill="1" applyBorder="1" applyAlignment="1">
      <alignment vertical="center"/>
    </xf>
    <xf numFmtId="0" fontId="14" fillId="3" borderId="34" xfId="0" applyFont="1" applyFill="1" applyBorder="1" applyAlignment="1">
      <alignment vertical="center"/>
    </xf>
    <xf numFmtId="165" fontId="14" fillId="3" borderId="43" xfId="0" applyNumberFormat="1" applyFont="1" applyFill="1" applyBorder="1" applyAlignment="1">
      <alignment vertical="center"/>
    </xf>
    <xf numFmtId="0" fontId="13" fillId="3" borderId="23" xfId="0" applyFont="1" applyFill="1" applyBorder="1" applyAlignment="1">
      <alignment horizontal="left" vertical="center" wrapText="1" indent="2"/>
    </xf>
    <xf numFmtId="165" fontId="13" fillId="3" borderId="22" xfId="0" applyNumberFormat="1" applyFont="1" applyFill="1" applyBorder="1" applyAlignment="1">
      <alignment vertical="center"/>
    </xf>
    <xf numFmtId="0" fontId="11" fillId="3" borderId="23" xfId="0" applyFont="1" applyFill="1" applyBorder="1" applyAlignment="1">
      <alignment horizontal="left" vertical="center" indent="2"/>
    </xf>
    <xf numFmtId="165" fontId="11" fillId="3" borderId="22" xfId="0" applyNumberFormat="1" applyFont="1" applyFill="1" applyBorder="1" applyAlignment="1">
      <alignment vertical="center"/>
    </xf>
    <xf numFmtId="0" fontId="13" fillId="3" borderId="38" xfId="0" applyFont="1" applyFill="1" applyBorder="1" applyAlignment="1">
      <alignment horizontal="left" vertical="center" indent="2"/>
    </xf>
    <xf numFmtId="165" fontId="13" fillId="3" borderId="44" xfId="0" applyNumberFormat="1" applyFont="1" applyFill="1" applyBorder="1" applyAlignment="1">
      <alignment vertical="center"/>
    </xf>
    <xf numFmtId="165" fontId="11" fillId="2" borderId="43" xfId="0" applyNumberFormat="1" applyFont="1" applyFill="1" applyBorder="1" applyAlignment="1">
      <alignment vertical="center"/>
    </xf>
    <xf numFmtId="165" fontId="11" fillId="2" borderId="22" xfId="0" applyNumberFormat="1" applyFont="1" applyFill="1" applyBorder="1" applyAlignment="1">
      <alignment vertical="center"/>
    </xf>
    <xf numFmtId="165" fontId="13" fillId="2" borderId="44" xfId="0" applyNumberFormat="1" applyFont="1" applyFill="1" applyBorder="1" applyAlignment="1">
      <alignment vertical="center"/>
    </xf>
    <xf numFmtId="165" fontId="11" fillId="0" borderId="43" xfId="0" applyNumberFormat="1" applyFont="1" applyFill="1" applyBorder="1" applyAlignment="1">
      <alignment vertical="center"/>
    </xf>
    <xf numFmtId="0" fontId="11" fillId="6" borderId="34" xfId="0" applyFont="1" applyFill="1" applyBorder="1" applyAlignment="1">
      <alignment vertical="center"/>
    </xf>
    <xf numFmtId="165" fontId="12" fillId="6" borderId="43" xfId="0" applyNumberFormat="1" applyFont="1" applyFill="1" applyBorder="1" applyAlignment="1">
      <alignment vertical="center"/>
    </xf>
    <xf numFmtId="0" fontId="13" fillId="6" borderId="23" xfId="0" applyFont="1" applyFill="1" applyBorder="1" applyAlignment="1">
      <alignment horizontal="left" vertical="center" indent="2"/>
    </xf>
    <xf numFmtId="165" fontId="13" fillId="6" borderId="22" xfId="0" applyNumberFormat="1" applyFont="1" applyFill="1" applyBorder="1" applyAlignment="1">
      <alignment vertical="center"/>
    </xf>
    <xf numFmtId="0" fontId="11" fillId="6" borderId="28" xfId="0" applyFont="1" applyFill="1" applyBorder="1" applyAlignment="1">
      <alignment horizontal="left" vertical="center" indent="2"/>
    </xf>
    <xf numFmtId="165" fontId="12" fillId="6" borderId="30" xfId="0" applyNumberFormat="1" applyFont="1" applyFill="1" applyBorder="1" applyAlignment="1">
      <alignment vertical="center"/>
    </xf>
    <xf numFmtId="0" fontId="13" fillId="6" borderId="45" xfId="0" applyFont="1" applyFill="1" applyBorder="1" applyAlignment="1">
      <alignment horizontal="left" vertical="center" indent="2"/>
    </xf>
    <xf numFmtId="0" fontId="13" fillId="6" borderId="46" xfId="0" applyNumberFormat="1" applyFont="1" applyFill="1" applyBorder="1" applyAlignment="1">
      <alignment horizontal="center" vertical="center"/>
    </xf>
    <xf numFmtId="165" fontId="13" fillId="6" borderId="47" xfId="0" applyNumberFormat="1" applyFont="1" applyFill="1" applyBorder="1" applyAlignment="1">
      <alignment vertical="center"/>
    </xf>
    <xf numFmtId="165" fontId="13" fillId="6" borderId="48" xfId="0" applyNumberFormat="1" applyFont="1" applyFill="1" applyBorder="1" applyAlignment="1">
      <alignment vertical="center"/>
    </xf>
    <xf numFmtId="165" fontId="13" fillId="5" borderId="45" xfId="0" applyNumberFormat="1" applyFont="1" applyFill="1" applyBorder="1" applyAlignment="1">
      <alignment vertical="center"/>
    </xf>
    <xf numFmtId="165" fontId="13" fillId="6" borderId="46" xfId="0" applyNumberFormat="1" applyFont="1" applyFill="1" applyBorder="1" applyAlignment="1">
      <alignment vertical="center"/>
    </xf>
    <xf numFmtId="165" fontId="13" fillId="6" borderId="49" xfId="0" applyNumberFormat="1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horizontal="center" vertical="center"/>
    </xf>
    <xf numFmtId="9" fontId="17" fillId="0" borderId="0" xfId="2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/>
    </xf>
    <xf numFmtId="168" fontId="18" fillId="0" borderId="1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vertical="center"/>
    </xf>
    <xf numFmtId="49" fontId="18" fillId="0" borderId="1" xfId="0" applyNumberFormat="1" applyFont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67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/>
    </xf>
    <xf numFmtId="9" fontId="17" fillId="0" borderId="1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166" fontId="5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9" fontId="5" fillId="2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 wrapText="1" shrinkToFit="1"/>
    </xf>
    <xf numFmtId="166" fontId="21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9" fontId="21" fillId="2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horizontal="right" vertical="center"/>
    </xf>
    <xf numFmtId="4" fontId="18" fillId="2" borderId="1" xfId="0" applyNumberFormat="1" applyFont="1" applyFill="1" applyBorder="1" applyAlignment="1">
      <alignment vertical="center"/>
    </xf>
    <xf numFmtId="3" fontId="18" fillId="0" borderId="1" xfId="0" applyNumberFormat="1" applyFont="1" applyFill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3" fontId="18" fillId="0" borderId="1" xfId="0" applyNumberFormat="1" applyFont="1" applyBorder="1" applyAlignment="1">
      <alignment horizontal="right" vertical="center" wrapText="1"/>
    </xf>
    <xf numFmtId="9" fontId="18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0" xfId="0" applyNumberFormat="1" applyFont="1" applyAlignment="1">
      <alignment vertical="center"/>
    </xf>
    <xf numFmtId="9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/>
    </xf>
    <xf numFmtId="9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vertical="center"/>
    </xf>
    <xf numFmtId="167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16" fontId="18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0" fontId="17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vertical="center" wrapText="1"/>
    </xf>
    <xf numFmtId="4" fontId="17" fillId="0" borderId="0" xfId="0" applyNumberFormat="1" applyFont="1" applyAlignment="1">
      <alignment vertical="center"/>
    </xf>
    <xf numFmtId="0" fontId="17" fillId="0" borderId="0" xfId="0" applyFont="1" applyFill="1" applyAlignment="1">
      <alignment vertical="center" wrapText="1" shrinkToFit="1"/>
    </xf>
    <xf numFmtId="0" fontId="17" fillId="0" borderId="0" xfId="0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/>
    <xf numFmtId="0" fontId="17" fillId="0" borderId="0" xfId="0" applyFont="1" applyFill="1" applyAlignment="1">
      <alignment wrapText="1" shrinkToFit="1"/>
    </xf>
    <xf numFmtId="0" fontId="16" fillId="0" borderId="6" xfId="0" applyFont="1" applyFill="1" applyBorder="1" applyAlignment="1">
      <alignment vertical="center" wrapText="1"/>
    </xf>
    <xf numFmtId="0" fontId="17" fillId="0" borderId="0" xfId="0" applyFont="1" applyAlignment="1">
      <alignment horizontal="right"/>
    </xf>
    <xf numFmtId="0" fontId="17" fillId="0" borderId="0" xfId="0" applyFont="1" applyFill="1"/>
    <xf numFmtId="0" fontId="22" fillId="0" borderId="0" xfId="0" applyFont="1"/>
    <xf numFmtId="0" fontId="19" fillId="0" borderId="1" xfId="0" applyNumberFormat="1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49" fontId="17" fillId="0" borderId="39" xfId="0" applyNumberFormat="1" applyFont="1" applyFill="1" applyBorder="1" applyAlignment="1">
      <alignment horizontal="center" vertical="center" wrapText="1"/>
    </xf>
    <xf numFmtId="167" fontId="17" fillId="0" borderId="39" xfId="0" applyNumberFormat="1" applyFont="1" applyFill="1" applyBorder="1" applyAlignment="1">
      <alignment horizontal="center" vertical="center" wrapText="1"/>
    </xf>
    <xf numFmtId="4" fontId="17" fillId="0" borderId="39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</cellXfs>
  <cellStyles count="5">
    <cellStyle name="Dziesiętny 2" xfId="4"/>
    <cellStyle name="Normalny" xfId="0" builtinId="0"/>
    <cellStyle name="Normalny 2" xfId="3"/>
    <cellStyle name="Normalny 3" xfId="1"/>
    <cellStyle name="Procentowy 2" xfId="2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7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32.140625" style="11" customWidth="1"/>
    <col min="2" max="2" width="10.7109375" style="1" customWidth="1"/>
    <col min="3" max="5" width="20.7109375" style="11" customWidth="1"/>
    <col min="6" max="15" width="15.7109375" style="11" customWidth="1"/>
    <col min="16" max="16" width="9.140625" style="11"/>
    <col min="17" max="17" width="11.7109375" style="11" bestFit="1" customWidth="1"/>
    <col min="18" max="16384" width="9.140625" style="3"/>
  </cols>
  <sheetData>
    <row r="1" spans="1:24" s="7" customFormat="1" ht="25.5" customHeight="1" thickBot="1" x14ac:dyDescent="0.35">
      <c r="A1" s="4" t="s">
        <v>338</v>
      </c>
      <c r="B1" s="98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</row>
    <row r="2" spans="1:24" x14ac:dyDescent="0.25">
      <c r="A2" s="8"/>
      <c r="B2" s="16"/>
      <c r="C2" s="8"/>
      <c r="D2" s="8"/>
      <c r="E2" s="8"/>
      <c r="F2" s="150" t="s">
        <v>170</v>
      </c>
      <c r="G2" s="151"/>
      <c r="H2" s="151"/>
      <c r="I2" s="151"/>
      <c r="J2" s="151"/>
      <c r="K2" s="151"/>
      <c r="L2" s="151"/>
      <c r="M2" s="151"/>
      <c r="N2" s="152"/>
      <c r="O2" s="8"/>
      <c r="P2" s="8"/>
      <c r="Q2" s="8"/>
      <c r="R2" s="9"/>
      <c r="S2" s="9"/>
      <c r="T2" s="9"/>
      <c r="U2" s="9"/>
      <c r="V2" s="9"/>
      <c r="W2" s="9"/>
      <c r="X2" s="9"/>
    </row>
    <row r="3" spans="1:24" ht="14.25" customHeight="1" x14ac:dyDescent="0.25">
      <c r="A3" s="10"/>
      <c r="B3" s="16"/>
      <c r="C3" s="8"/>
      <c r="D3" s="8"/>
      <c r="E3" s="8"/>
      <c r="F3" s="153"/>
      <c r="G3" s="154"/>
      <c r="H3" s="154"/>
      <c r="I3" s="154"/>
      <c r="J3" s="154"/>
      <c r="K3" s="154"/>
      <c r="L3" s="154"/>
      <c r="M3" s="154"/>
      <c r="N3" s="155"/>
      <c r="X3" s="9"/>
    </row>
    <row r="4" spans="1:24" x14ac:dyDescent="0.25">
      <c r="A4" s="12" t="s">
        <v>337</v>
      </c>
      <c r="B4" s="99"/>
      <c r="C4" s="13"/>
      <c r="D4" s="13"/>
      <c r="E4" s="13"/>
      <c r="F4" s="153"/>
      <c r="G4" s="154"/>
      <c r="H4" s="154"/>
      <c r="I4" s="154"/>
      <c r="J4" s="154"/>
      <c r="K4" s="154"/>
      <c r="L4" s="154"/>
      <c r="M4" s="154"/>
      <c r="N4" s="155"/>
      <c r="X4" s="14"/>
    </row>
    <row r="5" spans="1:24" x14ac:dyDescent="0.25">
      <c r="A5" s="13"/>
      <c r="B5" s="99"/>
      <c r="C5" s="13"/>
      <c r="D5" s="13"/>
      <c r="E5" s="13"/>
      <c r="F5" s="153"/>
      <c r="G5" s="154"/>
      <c r="H5" s="154"/>
      <c r="I5" s="154"/>
      <c r="J5" s="154"/>
      <c r="K5" s="154"/>
      <c r="L5" s="154"/>
      <c r="M5" s="154"/>
      <c r="N5" s="155"/>
      <c r="X5" s="9"/>
    </row>
    <row r="6" spans="1:24" ht="36" customHeight="1" x14ac:dyDescent="0.25">
      <c r="A6" s="12" t="s">
        <v>239</v>
      </c>
      <c r="B6" s="99"/>
      <c r="C6" s="13"/>
      <c r="D6" s="13"/>
      <c r="E6" s="13"/>
      <c r="F6" s="153"/>
      <c r="G6" s="154"/>
      <c r="H6" s="154"/>
      <c r="I6" s="154"/>
      <c r="J6" s="154"/>
      <c r="K6" s="154"/>
      <c r="L6" s="154"/>
      <c r="M6" s="154"/>
      <c r="N6" s="155"/>
      <c r="X6" s="14"/>
    </row>
    <row r="7" spans="1:24" ht="29.25" customHeight="1" thickBot="1" x14ac:dyDescent="0.3">
      <c r="A7" s="13"/>
      <c r="B7" s="99"/>
      <c r="C7" s="13"/>
      <c r="D7" s="13"/>
      <c r="E7" s="13"/>
      <c r="F7" s="156" t="s">
        <v>17</v>
      </c>
      <c r="G7" s="157"/>
      <c r="H7" s="157"/>
      <c r="I7" s="157"/>
      <c r="J7" s="157"/>
      <c r="K7" s="157"/>
      <c r="L7" s="157"/>
      <c r="M7" s="157"/>
      <c r="N7" s="158"/>
      <c r="X7" s="9"/>
    </row>
    <row r="8" spans="1:24" x14ac:dyDescent="0.25">
      <c r="A8" s="13"/>
      <c r="B8" s="99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X8" s="9"/>
    </row>
    <row r="9" spans="1:24" ht="20.100000000000001" customHeight="1" thickBot="1" x14ac:dyDescent="0.3">
      <c r="A9" s="12" t="s">
        <v>0</v>
      </c>
      <c r="B9" s="99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X9" s="9"/>
    </row>
    <row r="10" spans="1:24" ht="20.100000000000001" customHeight="1" x14ac:dyDescent="0.25">
      <c r="A10" s="159" t="s">
        <v>1</v>
      </c>
      <c r="B10" s="161" t="s">
        <v>32</v>
      </c>
      <c r="C10" s="163" t="s">
        <v>18</v>
      </c>
      <c r="D10" s="165" t="s">
        <v>19</v>
      </c>
      <c r="E10" s="167" t="s">
        <v>20</v>
      </c>
      <c r="F10" s="44"/>
      <c r="G10" s="36"/>
      <c r="H10" s="37"/>
      <c r="I10" s="36"/>
      <c r="J10" s="37" t="s">
        <v>11</v>
      </c>
      <c r="K10" s="36"/>
      <c r="L10" s="36"/>
      <c r="M10" s="36"/>
      <c r="N10" s="37"/>
      <c r="O10" s="38"/>
      <c r="P10" s="28"/>
      <c r="Q10" s="28"/>
      <c r="R10" s="2"/>
      <c r="S10" s="2"/>
      <c r="T10" s="2"/>
      <c r="U10" s="2"/>
      <c r="X10" s="9"/>
    </row>
    <row r="11" spans="1:24" s="1" customFormat="1" ht="20.100000000000001" customHeight="1" thickBot="1" x14ac:dyDescent="0.3">
      <c r="A11" s="160"/>
      <c r="B11" s="162"/>
      <c r="C11" s="164"/>
      <c r="D11" s="166"/>
      <c r="E11" s="168"/>
      <c r="F11" s="48">
        <v>2019</v>
      </c>
      <c r="G11" s="49">
        <v>2020</v>
      </c>
      <c r="H11" s="49">
        <v>2021</v>
      </c>
      <c r="I11" s="49">
        <v>2022</v>
      </c>
      <c r="J11" s="49">
        <v>2023</v>
      </c>
      <c r="K11" s="49">
        <v>2024</v>
      </c>
      <c r="L11" s="49">
        <v>2025</v>
      </c>
      <c r="M11" s="49">
        <v>2026</v>
      </c>
      <c r="N11" s="49">
        <v>2027</v>
      </c>
      <c r="O11" s="50">
        <v>2028</v>
      </c>
      <c r="P11" s="15"/>
      <c r="Q11" s="15"/>
      <c r="R11" s="15"/>
      <c r="S11" s="15"/>
      <c r="T11" s="15"/>
      <c r="U11" s="15"/>
      <c r="V11" s="16"/>
      <c r="W11" s="16"/>
      <c r="X11" s="16"/>
    </row>
    <row r="12" spans="1:24" ht="39.950000000000003" customHeight="1" thickTop="1" x14ac:dyDescent="0.25">
      <c r="A12" s="116" t="s">
        <v>34</v>
      </c>
      <c r="B12" s="100">
        <f>COUNTA('pow podst'!K3:K20)</f>
        <v>18</v>
      </c>
      <c r="C12" s="52">
        <f>SUM('pow podst'!J3:J20)</f>
        <v>151341824</v>
      </c>
      <c r="D12" s="53">
        <f>SUM('pow podst'!L3:L20)</f>
        <v>61026010</v>
      </c>
      <c r="E12" s="54">
        <f>SUM('pow podst'!K3:K20)</f>
        <v>90315814</v>
      </c>
      <c r="F12" s="55">
        <f>SUM('pow podst'!N3:N20)</f>
        <v>922336</v>
      </c>
      <c r="G12" s="55">
        <f>SUM('pow podst'!O3:O20)</f>
        <v>20004024</v>
      </c>
      <c r="H12" s="55">
        <f>SUM('pow podst'!P3:P20)</f>
        <v>17302993</v>
      </c>
      <c r="I12" s="55">
        <f>SUM('pow podst'!Q3:Q20)</f>
        <v>40954714</v>
      </c>
      <c r="J12" s="55">
        <f>SUM('pow podst'!R3:R20)</f>
        <v>11131747</v>
      </c>
      <c r="K12" s="55">
        <f>SUM('pow podst'!S3:S20)</f>
        <v>0</v>
      </c>
      <c r="L12" s="55">
        <f>SUM('pow podst'!T3:T20)</f>
        <v>0</v>
      </c>
      <c r="M12" s="55">
        <f>SUM('pow podst'!U3:U20)</f>
        <v>0</v>
      </c>
      <c r="N12" s="55">
        <f>SUM('pow podst'!V3:V20)</f>
        <v>0</v>
      </c>
      <c r="O12" s="117">
        <f>SUM('pow podst'!W3:W20)</f>
        <v>0</v>
      </c>
      <c r="P12" s="17" t="b">
        <f>C12=(D12+E12)</f>
        <v>1</v>
      </c>
      <c r="Q12" s="29" t="b">
        <f>E12=SUM(F12:O12)</f>
        <v>1</v>
      </c>
      <c r="R12" s="18"/>
      <c r="S12" s="18"/>
      <c r="T12" s="19"/>
      <c r="U12" s="19"/>
      <c r="V12" s="20"/>
      <c r="W12" s="9"/>
      <c r="X12" s="9"/>
    </row>
    <row r="13" spans="1:24" ht="39.950000000000003" customHeight="1" x14ac:dyDescent="0.25">
      <c r="A13" s="118" t="s">
        <v>35</v>
      </c>
      <c r="B13" s="101">
        <f>COUNTIF('pow podst'!C3:C20,"K")</f>
        <v>9</v>
      </c>
      <c r="C13" s="79">
        <f>SUMIF('pow podst'!C3:C20,"K",'pow podst'!J3:J20)</f>
        <v>97994434</v>
      </c>
      <c r="D13" s="80">
        <f>SUMIF('pow podst'!C3:C20,"K",'pow podst'!L3:L20)</f>
        <v>40352416</v>
      </c>
      <c r="E13" s="32">
        <f>SUMIF('pow podst'!C3:C20,"K",'pow podst'!K3:K20)</f>
        <v>57642018</v>
      </c>
      <c r="F13" s="85">
        <f>SUMIF('pow podst'!C3:C20,"K",'pow podst'!N3:N20)</f>
        <v>922336</v>
      </c>
      <c r="G13" s="85">
        <f>SUMIF('pow podst'!$C3:$C20,"K",'pow podst'!O3:O20)</f>
        <v>20004024</v>
      </c>
      <c r="H13" s="85">
        <f>SUMIF('pow podst'!$C3:$C20,"K",'pow podst'!P3:P20)</f>
        <v>17302993</v>
      </c>
      <c r="I13" s="85">
        <f>SUMIF('pow podst'!$C3:$C20,"K",'pow podst'!Q3:Q20)</f>
        <v>18189297</v>
      </c>
      <c r="J13" s="85">
        <f>SUMIF('pow podst'!$C3:$C20,"K",'pow podst'!R3:R20)</f>
        <v>1223368</v>
      </c>
      <c r="K13" s="85">
        <f>SUMIF('pow podst'!$C3:$C20,"K",'pow podst'!S3:S20)</f>
        <v>0</v>
      </c>
      <c r="L13" s="85">
        <f>SUMIF('pow podst'!$C3:$C20,"K",'pow podst'!T3:T20)</f>
        <v>0</v>
      </c>
      <c r="M13" s="85">
        <f>SUMIF('pow podst'!$C3:$C20,"K",'pow podst'!U3:U20)</f>
        <v>0</v>
      </c>
      <c r="N13" s="85">
        <f>SUMIF('pow podst'!$C3:$C20,"K",'pow podst'!V3:V20)</f>
        <v>0</v>
      </c>
      <c r="O13" s="119">
        <f>SUMIF('pow podst'!$C3:$C20,"K",'pow podst'!W3:W20)</f>
        <v>0</v>
      </c>
      <c r="P13" s="17" t="b">
        <f t="shared" ref="P13:P22" si="0">C13=(D13+E13)</f>
        <v>1</v>
      </c>
      <c r="Q13" s="29" t="b">
        <f t="shared" ref="Q13:Q19" si="1">E13=SUM(F13:O13)</f>
        <v>1</v>
      </c>
      <c r="R13" s="18"/>
      <c r="S13" s="18"/>
      <c r="T13" s="19"/>
      <c r="U13" s="19"/>
      <c r="V13" s="20"/>
      <c r="W13" s="9"/>
      <c r="X13" s="9"/>
    </row>
    <row r="14" spans="1:24" ht="39.950000000000003" customHeight="1" x14ac:dyDescent="0.25">
      <c r="A14" s="120" t="s">
        <v>36</v>
      </c>
      <c r="B14" s="102">
        <f>COUNTIF('pow podst'!C3:C20,"N")</f>
        <v>4</v>
      </c>
      <c r="C14" s="81">
        <f>SUMIF('pow podst'!C3:C20,"N",'pow podst'!J3:J20)</f>
        <v>15852892</v>
      </c>
      <c r="D14" s="82">
        <f>SUMIF('pow podst'!C3:C20,"N",'pow podst'!L3:L20)</f>
        <v>6416752</v>
      </c>
      <c r="E14" s="31">
        <f>SUMIF('pow podst'!C3:C20,"N",'pow podst'!K3:K20)</f>
        <v>9436140</v>
      </c>
      <c r="F14" s="86">
        <f>SUMIF('pow podst'!C3:C20,"N",'pow podst'!N3:N20)</f>
        <v>0</v>
      </c>
      <c r="G14" s="86">
        <f>SUMIF('pow podst'!$C3:$C20,"N",'pow podst'!O3:O20)</f>
        <v>0</v>
      </c>
      <c r="H14" s="86">
        <f>SUMIF('pow podst'!$C3:$C20,"N",'pow podst'!P3:P20)</f>
        <v>0</v>
      </c>
      <c r="I14" s="86">
        <f>SUMIF('pow podst'!$C3:$C20,"N",'pow podst'!Q3:Q20)</f>
        <v>9436140</v>
      </c>
      <c r="J14" s="86">
        <f>SUMIF('pow podst'!$C3:$C20,"N",'pow podst'!R3:R20)</f>
        <v>0</v>
      </c>
      <c r="K14" s="86">
        <f>SUMIF('pow podst'!$C3:$C20,"N",'pow podst'!S3:S20)</f>
        <v>0</v>
      </c>
      <c r="L14" s="86">
        <f>SUMIF('pow podst'!$C3:$C20,"N",'pow podst'!T3:T20)</f>
        <v>0</v>
      </c>
      <c r="M14" s="86">
        <f>SUMIF('pow podst'!$C3:$C20,"N",'pow podst'!U3:U20)</f>
        <v>0</v>
      </c>
      <c r="N14" s="86">
        <f>SUMIF('pow podst'!$C3:$C20,"N",'pow podst'!V3:V20)</f>
        <v>0</v>
      </c>
      <c r="O14" s="121">
        <f>SUMIF('pow podst'!$C3:$C20,"N",'pow podst'!W3:W20)</f>
        <v>0</v>
      </c>
      <c r="P14" s="17" t="b">
        <f t="shared" si="0"/>
        <v>1</v>
      </c>
      <c r="Q14" s="29" t="b">
        <f t="shared" si="1"/>
        <v>1</v>
      </c>
      <c r="R14" s="18"/>
      <c r="S14" s="18"/>
      <c r="T14" s="19"/>
      <c r="U14" s="19"/>
      <c r="V14" s="20"/>
      <c r="W14" s="9"/>
      <c r="X14" s="9"/>
    </row>
    <row r="15" spans="1:24" ht="39.950000000000003" customHeight="1" thickBot="1" x14ac:dyDescent="0.3">
      <c r="A15" s="122" t="s">
        <v>37</v>
      </c>
      <c r="B15" s="103">
        <f>COUNTIF('pow podst'!C3:C20,"W")</f>
        <v>5</v>
      </c>
      <c r="C15" s="83">
        <f>SUMIF('pow podst'!C3:C20,"W",'pow podst'!J3:J20)</f>
        <v>37494498</v>
      </c>
      <c r="D15" s="84">
        <f>SUMIF('pow podst'!C3:C20,"W",'pow podst'!L3:L20)</f>
        <v>14256842</v>
      </c>
      <c r="E15" s="56">
        <f>SUMIF('pow podst'!C3:C20,"W",'pow podst'!K3:K20)</f>
        <v>23237656</v>
      </c>
      <c r="F15" s="87">
        <f>SUMIF('pow podst'!C3:C20,"W",'pow podst'!N3:N20)</f>
        <v>0</v>
      </c>
      <c r="G15" s="87">
        <f>SUMIF('pow podst'!$C3:$C20,"W",'pow podst'!O3:O20)</f>
        <v>0</v>
      </c>
      <c r="H15" s="87">
        <f>SUMIF('pow podst'!$C3:$C20,"W",'pow podst'!P3:P20)</f>
        <v>0</v>
      </c>
      <c r="I15" s="87">
        <f>SUMIF('pow podst'!$C3:$C20,"W",'pow podst'!Q3:Q20)</f>
        <v>13329277</v>
      </c>
      <c r="J15" s="87">
        <f>SUMIF('pow podst'!$C3:$C20,"W",'pow podst'!R3:R20)</f>
        <v>9908379</v>
      </c>
      <c r="K15" s="87">
        <f>SUMIF('pow podst'!$C3:$C20,"W",'pow podst'!S3:S20)</f>
        <v>0</v>
      </c>
      <c r="L15" s="87">
        <f>SUMIF('pow podst'!$C3:$C20,"W",'pow podst'!T3:T20)</f>
        <v>0</v>
      </c>
      <c r="M15" s="87">
        <f>SUMIF('pow podst'!$C3:$C20,"W",'pow podst'!U3:U20)</f>
        <v>0</v>
      </c>
      <c r="N15" s="87">
        <f>SUMIF('pow podst'!$C3:$C20,"W",'pow podst'!V3:V20)</f>
        <v>0</v>
      </c>
      <c r="O15" s="123">
        <f>SUMIF('pow podst'!$C3:$C20,"W",'pow podst'!W3:W20)</f>
        <v>0</v>
      </c>
      <c r="P15" s="17" t="b">
        <f t="shared" si="0"/>
        <v>1</v>
      </c>
      <c r="Q15" s="29" t="b">
        <f t="shared" si="1"/>
        <v>1</v>
      </c>
      <c r="R15" s="18"/>
      <c r="S15" s="18"/>
      <c r="T15" s="19"/>
      <c r="U15" s="19"/>
      <c r="V15" s="20"/>
      <c r="W15" s="9"/>
      <c r="X15" s="9"/>
    </row>
    <row r="16" spans="1:24" ht="39.950000000000003" customHeight="1" thickTop="1" x14ac:dyDescent="0.25">
      <c r="A16" s="116" t="s">
        <v>38</v>
      </c>
      <c r="B16" s="100">
        <f>COUNTA('gm podst'!L3:L54)</f>
        <v>52</v>
      </c>
      <c r="C16" s="52">
        <f>SUM('gm podst'!K3:K54)</f>
        <v>188439007</v>
      </c>
      <c r="D16" s="53">
        <f>SUM('gm podst'!M3:M54)</f>
        <v>98663982</v>
      </c>
      <c r="E16" s="54">
        <f>SUM('gm podst'!L3:L54)</f>
        <v>89775025</v>
      </c>
      <c r="F16" s="88">
        <f>SUM('gm podst'!O3:O54)</f>
        <v>0</v>
      </c>
      <c r="G16" s="88">
        <f>SUM('gm podst'!P3:P54)</f>
        <v>3500608</v>
      </c>
      <c r="H16" s="88">
        <f>SUM('gm podst'!Q3:Q54)</f>
        <v>11121867</v>
      </c>
      <c r="I16" s="88">
        <f>SUM('gm podst'!R3:R54)</f>
        <v>40954714</v>
      </c>
      <c r="J16" s="88">
        <f>SUM('gm podst'!S3:S54)</f>
        <v>22791731</v>
      </c>
      <c r="K16" s="88">
        <f>SUM('gm podst'!T3:T54)</f>
        <v>7066173</v>
      </c>
      <c r="L16" s="88">
        <f>SUM('gm podst'!U3:U54)</f>
        <v>2148961</v>
      </c>
      <c r="M16" s="88">
        <f>SUM('gm podst'!V3:V54)</f>
        <v>2190971</v>
      </c>
      <c r="N16" s="88">
        <f>SUM('gm podst'!W3:W54)</f>
        <v>0</v>
      </c>
      <c r="O16" s="124">
        <f>SUM('gm podst'!X3:X54)</f>
        <v>0</v>
      </c>
      <c r="P16" s="17" t="b">
        <f t="shared" si="0"/>
        <v>1</v>
      </c>
      <c r="Q16" s="29" t="b">
        <f t="shared" si="1"/>
        <v>1</v>
      </c>
      <c r="R16" s="18"/>
      <c r="S16" s="18"/>
      <c r="T16" s="19"/>
      <c r="U16" s="19"/>
      <c r="V16" s="19"/>
      <c r="W16" s="19"/>
      <c r="X16" s="19"/>
    </row>
    <row r="17" spans="1:24" ht="39.950000000000003" customHeight="1" x14ac:dyDescent="0.25">
      <c r="A17" s="118" t="s">
        <v>35</v>
      </c>
      <c r="B17" s="101">
        <f>COUNTIF('gm podst'!C3:C54,"K")</f>
        <v>20</v>
      </c>
      <c r="C17" s="79">
        <f>SUMIF('gm podst'!C3:C54,"K",'gm podst'!K3:K54)</f>
        <v>82332850</v>
      </c>
      <c r="D17" s="80">
        <f>SUMIF('gm podst'!C3:C54,"K",'gm podst'!M3:M54)</f>
        <v>42476077</v>
      </c>
      <c r="E17" s="32">
        <f>SUMIF('gm podst'!C3:C54,"K",'gm podst'!L3:L54)</f>
        <v>39856773</v>
      </c>
      <c r="F17" s="85">
        <f>SUMIF('gm podst'!$C3:$C54,"K",'gm podst'!O3:O54)</f>
        <v>0</v>
      </c>
      <c r="G17" s="85">
        <f>SUMIF('gm podst'!$C3:$C54,"K",'gm podst'!P3:P54)</f>
        <v>3500608</v>
      </c>
      <c r="H17" s="85">
        <f>SUMIF('gm podst'!$C3:$C54,"K",'gm podst'!Q3:Q54)</f>
        <v>11121867</v>
      </c>
      <c r="I17" s="85">
        <f>SUMIF('gm podst'!$C3:$C54,"K",'gm podst'!R3:R54)</f>
        <v>15539295</v>
      </c>
      <c r="J17" s="85">
        <f>SUMIF('gm podst'!$C3:$C54,"K",'gm podst'!S3:S54)</f>
        <v>2084756</v>
      </c>
      <c r="K17" s="85">
        <f>SUMIF('gm podst'!$C3:$C54,"K",'gm podst'!T3:T54)</f>
        <v>3709852</v>
      </c>
      <c r="L17" s="85">
        <f>SUMIF('gm podst'!$C3:$C54,"K",'gm podst'!U3:U54)</f>
        <v>1709424</v>
      </c>
      <c r="M17" s="85">
        <f>SUMIF('gm podst'!$C3:$C54,"K",'gm podst'!V3:V54)</f>
        <v>2190971</v>
      </c>
      <c r="N17" s="85">
        <f>SUMIF('gm podst'!$C3:$C54,"K",'gm podst'!W3:W54)</f>
        <v>0</v>
      </c>
      <c r="O17" s="119">
        <f>SUMIF('gm podst'!$C3:$C54,"K",'gm podst'!X3:X54)</f>
        <v>0</v>
      </c>
      <c r="P17" s="17" t="b">
        <f t="shared" si="0"/>
        <v>1</v>
      </c>
      <c r="Q17" s="29" t="b">
        <f t="shared" si="1"/>
        <v>1</v>
      </c>
      <c r="R17" s="18"/>
      <c r="S17" s="18"/>
      <c r="T17" s="19"/>
      <c r="U17" s="19"/>
      <c r="V17" s="19"/>
      <c r="W17" s="19"/>
      <c r="X17" s="19"/>
    </row>
    <row r="18" spans="1:24" ht="39.950000000000003" customHeight="1" x14ac:dyDescent="0.25">
      <c r="A18" s="120" t="s">
        <v>36</v>
      </c>
      <c r="B18" s="102">
        <f>COUNTIF('gm podst'!C3:C54,"N")</f>
        <v>17</v>
      </c>
      <c r="C18" s="81">
        <f>SUMIF('gm podst'!C3:C54,"N",'gm podst'!K3:K54)</f>
        <v>25988720</v>
      </c>
      <c r="D18" s="82">
        <f>SUMIF('gm podst'!C3:C54,"N",'gm podst'!M3:M54)</f>
        <v>10953501</v>
      </c>
      <c r="E18" s="31">
        <f>SUMIF('gm podst'!C3:C54,"N",'gm podst'!L3:L54)</f>
        <v>15035219</v>
      </c>
      <c r="F18" s="86">
        <f>SUMIF('gm podst'!$C3:$C54,"N",'gm podst'!O3:O54)</f>
        <v>0</v>
      </c>
      <c r="G18" s="86">
        <f>SUMIF('gm podst'!$C3:$C54,"N",'gm podst'!P3:P54)</f>
        <v>0</v>
      </c>
      <c r="H18" s="86">
        <f>SUMIF('gm podst'!$C3:$C54,"N",'gm podst'!Q3:Q54)</f>
        <v>0</v>
      </c>
      <c r="I18" s="86">
        <f>SUMIF('gm podst'!$C3:$C54,"N",'gm podst'!R3:R54)</f>
        <v>15035219</v>
      </c>
      <c r="J18" s="86">
        <f>SUMIF('gm podst'!$C3:$C54,"N",'gm podst'!S3:S54)</f>
        <v>0</v>
      </c>
      <c r="K18" s="86">
        <f>SUMIF('gm podst'!$C3:$C54,"N",'gm podst'!T3:T54)</f>
        <v>0</v>
      </c>
      <c r="L18" s="86">
        <f>SUMIF('gm podst'!$C3:$C54,"N",'gm podst'!U3:U54)</f>
        <v>0</v>
      </c>
      <c r="M18" s="86">
        <f>SUMIF('gm podst'!$C3:$C54,"N",'gm podst'!V3:V54)</f>
        <v>0</v>
      </c>
      <c r="N18" s="86">
        <f>SUMIF('gm podst'!$C3:$C54,"N",'gm podst'!W3:W54)</f>
        <v>0</v>
      </c>
      <c r="O18" s="121">
        <f>SUMIF('gm podst'!$C3:$C54,"N",'gm podst'!X3:X54)</f>
        <v>0</v>
      </c>
      <c r="P18" s="17" t="b">
        <f t="shared" si="0"/>
        <v>1</v>
      </c>
      <c r="Q18" s="29" t="b">
        <f t="shared" si="1"/>
        <v>1</v>
      </c>
      <c r="R18" s="18"/>
      <c r="S18" s="18"/>
      <c r="T18" s="19"/>
      <c r="U18" s="19"/>
      <c r="V18" s="19"/>
      <c r="W18" s="19"/>
      <c r="X18" s="19"/>
    </row>
    <row r="19" spans="1:24" ht="39.950000000000003" customHeight="1" thickBot="1" x14ac:dyDescent="0.3">
      <c r="A19" s="122" t="s">
        <v>37</v>
      </c>
      <c r="B19" s="103">
        <f>COUNTIF('gm podst'!C3:C54,"W")</f>
        <v>15</v>
      </c>
      <c r="C19" s="83">
        <f>SUMIF('gm podst'!C3:C54,"W",'gm podst'!K3:K54)</f>
        <v>80117437</v>
      </c>
      <c r="D19" s="84">
        <f>SUMIF('gm podst'!C3:C54,"W",'gm podst'!M3:M54)</f>
        <v>45234404</v>
      </c>
      <c r="E19" s="56">
        <f>SUMIF('gm podst'!C3:C54,"W",'gm podst'!L3:L54)</f>
        <v>34883033</v>
      </c>
      <c r="F19" s="87">
        <f>SUMIF('gm podst'!$C3:$C54,"W",'gm podst'!O3:O54)</f>
        <v>0</v>
      </c>
      <c r="G19" s="87">
        <f>SUMIF('gm podst'!$C3:$C54,"W",'gm podst'!P3:P54)</f>
        <v>0</v>
      </c>
      <c r="H19" s="87">
        <f>SUMIF('gm podst'!$C3:$C54,"W",'gm podst'!Q3:Q54)</f>
        <v>0</v>
      </c>
      <c r="I19" s="87">
        <f>SUMIF('gm podst'!$C3:$C54,"W",'gm podst'!R3:R54)</f>
        <v>10380200</v>
      </c>
      <c r="J19" s="87">
        <f>SUMIF('gm podst'!$C3:$C54,"W",'gm podst'!S3:S54)</f>
        <v>20706975</v>
      </c>
      <c r="K19" s="87">
        <f>SUMIF('gm podst'!$C3:$C54,"W",'gm podst'!T3:T54)</f>
        <v>3356321</v>
      </c>
      <c r="L19" s="87">
        <f>SUMIF('gm podst'!$C3:$C54,"W",'gm podst'!U3:U54)</f>
        <v>439537</v>
      </c>
      <c r="M19" s="87">
        <f>SUMIF('gm podst'!$C3:$C54,"W",'gm podst'!V3:V54)</f>
        <v>0</v>
      </c>
      <c r="N19" s="87">
        <f>SUMIF('gm podst'!$C3:$C54,"W",'gm podst'!W3:W54)</f>
        <v>0</v>
      </c>
      <c r="O19" s="123">
        <f>SUMIF('gm podst'!$C3:$C54,"W",'gm podst'!X3:X54)</f>
        <v>0</v>
      </c>
      <c r="P19" s="17" t="b">
        <f t="shared" si="0"/>
        <v>1</v>
      </c>
      <c r="Q19" s="29" t="b">
        <f t="shared" si="1"/>
        <v>1</v>
      </c>
      <c r="R19" s="18"/>
      <c r="S19" s="18"/>
      <c r="T19" s="19"/>
      <c r="U19" s="19"/>
      <c r="V19" s="19"/>
      <c r="W19" s="19"/>
      <c r="X19" s="19"/>
    </row>
    <row r="20" spans="1:24" s="23" customFormat="1" ht="39.950000000000003" customHeight="1" thickTop="1" x14ac:dyDescent="0.25">
      <c r="A20" s="125" t="s">
        <v>39</v>
      </c>
      <c r="B20" s="104">
        <f>B12+B16</f>
        <v>70</v>
      </c>
      <c r="C20" s="57">
        <f>C12+C16</f>
        <v>339780831</v>
      </c>
      <c r="D20" s="58">
        <f t="shared" ref="C20:O22" si="2">D12+D16</f>
        <v>159689992</v>
      </c>
      <c r="E20" s="59">
        <f t="shared" si="2"/>
        <v>180090839</v>
      </c>
      <c r="F20" s="60">
        <f t="shared" si="2"/>
        <v>922336</v>
      </c>
      <c r="G20" s="57">
        <f t="shared" si="2"/>
        <v>23504632</v>
      </c>
      <c r="H20" s="57">
        <f t="shared" si="2"/>
        <v>28424860</v>
      </c>
      <c r="I20" s="57">
        <f t="shared" si="2"/>
        <v>81909428</v>
      </c>
      <c r="J20" s="57">
        <f t="shared" si="2"/>
        <v>33923478</v>
      </c>
      <c r="K20" s="57">
        <f t="shared" si="2"/>
        <v>7066173</v>
      </c>
      <c r="L20" s="57">
        <f t="shared" si="2"/>
        <v>2148961</v>
      </c>
      <c r="M20" s="57">
        <f t="shared" si="2"/>
        <v>2190971</v>
      </c>
      <c r="N20" s="57">
        <f t="shared" si="2"/>
        <v>0</v>
      </c>
      <c r="O20" s="126">
        <f t="shared" si="2"/>
        <v>0</v>
      </c>
      <c r="P20" s="17" t="b">
        <f t="shared" si="0"/>
        <v>1</v>
      </c>
      <c r="Q20" s="29" t="b">
        <f t="shared" ref="Q20:Q22" si="3">E20=SUM(F20:O20)</f>
        <v>1</v>
      </c>
      <c r="R20" s="21"/>
      <c r="S20" s="21"/>
      <c r="T20" s="22"/>
      <c r="U20" s="22"/>
      <c r="V20" s="22"/>
      <c r="W20" s="22"/>
      <c r="X20" s="22"/>
    </row>
    <row r="21" spans="1:24" s="23" customFormat="1" ht="39.950000000000003" customHeight="1" x14ac:dyDescent="0.25">
      <c r="A21" s="127" t="s">
        <v>35</v>
      </c>
      <c r="B21" s="105">
        <f>B13+B17</f>
        <v>29</v>
      </c>
      <c r="C21" s="33">
        <f t="shared" si="2"/>
        <v>180327284</v>
      </c>
      <c r="D21" s="41">
        <f t="shared" si="2"/>
        <v>82828493</v>
      </c>
      <c r="E21" s="32">
        <f t="shared" si="2"/>
        <v>97498791</v>
      </c>
      <c r="F21" s="45">
        <f t="shared" si="2"/>
        <v>922336</v>
      </c>
      <c r="G21" s="33">
        <f t="shared" si="2"/>
        <v>23504632</v>
      </c>
      <c r="H21" s="33">
        <f t="shared" si="2"/>
        <v>28424860</v>
      </c>
      <c r="I21" s="33">
        <f t="shared" si="2"/>
        <v>33728592</v>
      </c>
      <c r="J21" s="33">
        <f t="shared" si="2"/>
        <v>3308124</v>
      </c>
      <c r="K21" s="33">
        <f t="shared" si="2"/>
        <v>3709852</v>
      </c>
      <c r="L21" s="33">
        <f t="shared" si="2"/>
        <v>1709424</v>
      </c>
      <c r="M21" s="33">
        <f t="shared" si="2"/>
        <v>2190971</v>
      </c>
      <c r="N21" s="33">
        <f t="shared" si="2"/>
        <v>0</v>
      </c>
      <c r="O21" s="128">
        <f t="shared" si="2"/>
        <v>0</v>
      </c>
      <c r="P21" s="17" t="b">
        <f t="shared" si="0"/>
        <v>1</v>
      </c>
      <c r="Q21" s="29" t="b">
        <f t="shared" si="3"/>
        <v>1</v>
      </c>
      <c r="R21" s="21"/>
      <c r="S21" s="21"/>
      <c r="T21" s="22"/>
      <c r="U21" s="22"/>
      <c r="V21" s="22"/>
      <c r="W21" s="22"/>
      <c r="X21" s="22"/>
    </row>
    <row r="22" spans="1:24" s="23" customFormat="1" ht="39.950000000000003" customHeight="1" x14ac:dyDescent="0.25">
      <c r="A22" s="129" t="s">
        <v>36</v>
      </c>
      <c r="B22" s="106">
        <f>B14+B18</f>
        <v>21</v>
      </c>
      <c r="C22" s="35">
        <f t="shared" si="2"/>
        <v>41841612</v>
      </c>
      <c r="D22" s="42">
        <f t="shared" si="2"/>
        <v>17370253</v>
      </c>
      <c r="E22" s="31">
        <f t="shared" si="2"/>
        <v>24471359</v>
      </c>
      <c r="F22" s="46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24471359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130">
        <f t="shared" si="2"/>
        <v>0</v>
      </c>
      <c r="P22" s="17" t="b">
        <f t="shared" si="0"/>
        <v>1</v>
      </c>
      <c r="Q22" s="29" t="b">
        <f t="shared" si="3"/>
        <v>1</v>
      </c>
      <c r="R22" s="21"/>
      <c r="S22" s="21"/>
      <c r="T22" s="22"/>
      <c r="U22" s="22"/>
      <c r="V22" s="22"/>
      <c r="W22" s="22"/>
      <c r="X22" s="22"/>
    </row>
    <row r="23" spans="1:24" s="23" customFormat="1" ht="39.950000000000003" customHeight="1" thickBot="1" x14ac:dyDescent="0.3">
      <c r="A23" s="131" t="s">
        <v>37</v>
      </c>
      <c r="B23" s="107">
        <f>B15+B19</f>
        <v>20</v>
      </c>
      <c r="C23" s="61">
        <f t="shared" ref="C23:O23" si="4">C15+C19</f>
        <v>117611935</v>
      </c>
      <c r="D23" s="62">
        <f t="shared" si="4"/>
        <v>59491246</v>
      </c>
      <c r="E23" s="56">
        <f t="shared" si="4"/>
        <v>58120689</v>
      </c>
      <c r="F23" s="63">
        <f t="shared" si="4"/>
        <v>0</v>
      </c>
      <c r="G23" s="61">
        <f t="shared" si="4"/>
        <v>0</v>
      </c>
      <c r="H23" s="61">
        <f t="shared" si="4"/>
        <v>0</v>
      </c>
      <c r="I23" s="61">
        <f t="shared" si="4"/>
        <v>23709477</v>
      </c>
      <c r="J23" s="61">
        <f t="shared" si="4"/>
        <v>30615354</v>
      </c>
      <c r="K23" s="61">
        <f t="shared" si="4"/>
        <v>3356321</v>
      </c>
      <c r="L23" s="61">
        <f t="shared" si="4"/>
        <v>439537</v>
      </c>
      <c r="M23" s="61">
        <f t="shared" si="4"/>
        <v>0</v>
      </c>
      <c r="N23" s="61">
        <f t="shared" si="4"/>
        <v>0</v>
      </c>
      <c r="O23" s="132">
        <f t="shared" si="4"/>
        <v>0</v>
      </c>
      <c r="P23" s="17" t="b">
        <f t="shared" ref="P23" si="5">C23=(D23+E23)</f>
        <v>1</v>
      </c>
      <c r="Q23" s="29" t="b">
        <f t="shared" ref="Q23" si="6">E23=SUM(F23:O23)</f>
        <v>1</v>
      </c>
      <c r="R23" s="21"/>
      <c r="S23" s="21"/>
      <c r="T23" s="22"/>
      <c r="U23" s="22"/>
      <c r="V23" s="22"/>
      <c r="W23" s="22"/>
      <c r="X23" s="22"/>
    </row>
    <row r="24" spans="1:24" ht="39.950000000000003" customHeight="1" thickTop="1" x14ac:dyDescent="0.25">
      <c r="A24" s="116" t="s">
        <v>2</v>
      </c>
      <c r="B24" s="108">
        <f>COUNTA('pow rez'!K3:K13)</f>
        <v>11</v>
      </c>
      <c r="C24" s="89">
        <f>SUM('pow rez'!J3:J13)</f>
        <v>57725641</v>
      </c>
      <c r="D24" s="90">
        <f>SUM('pow rez'!L3:L13)</f>
        <v>23183998</v>
      </c>
      <c r="E24" s="54">
        <f>SUM('pow rez'!K3:K13)</f>
        <v>34541643</v>
      </c>
      <c r="F24" s="88">
        <f>SUM('pow rez'!N3:N13)</f>
        <v>0</v>
      </c>
      <c r="G24" s="89">
        <f>SUM('pow rez'!O3:O13)</f>
        <v>0</v>
      </c>
      <c r="H24" s="89">
        <f>SUM('pow rez'!P3:P13)</f>
        <v>0</v>
      </c>
      <c r="I24" s="89">
        <f>SUM('pow rez'!Q3:Q13)</f>
        <v>21681742</v>
      </c>
      <c r="J24" s="89">
        <f>SUM('pow rez'!R3:R13)</f>
        <v>5859901</v>
      </c>
      <c r="K24" s="89">
        <f>SUM('pow rez'!S3:S13)</f>
        <v>3500000</v>
      </c>
      <c r="L24" s="89">
        <f>SUM('pow rez'!T3:T13)</f>
        <v>3500000</v>
      </c>
      <c r="M24" s="89">
        <f>SUM('pow rez'!U3:U13)</f>
        <v>0</v>
      </c>
      <c r="N24" s="89">
        <f>SUM('pow rez'!V3:V13)</f>
        <v>0</v>
      </c>
      <c r="O24" s="133">
        <f>SUM('pow rez'!W3:W13)</f>
        <v>0</v>
      </c>
      <c r="P24" s="17" t="b">
        <f t="shared" ref="P24:P36" si="7">C24=(D24+E24)</f>
        <v>1</v>
      </c>
      <c r="Q24" s="29" t="b">
        <f t="shared" ref="Q24:Q36" si="8">E24=SUM(F24:O24)</f>
        <v>1</v>
      </c>
      <c r="R24" s="18"/>
      <c r="S24" s="18"/>
      <c r="T24" s="19"/>
      <c r="U24" s="19"/>
      <c r="V24" s="19"/>
      <c r="W24" s="19"/>
      <c r="X24" s="19"/>
    </row>
    <row r="25" spans="1:24" ht="39.950000000000003" customHeight="1" x14ac:dyDescent="0.25">
      <c r="A25" s="120" t="s">
        <v>36</v>
      </c>
      <c r="B25" s="102">
        <f>COUNTIF('pow rez'!C3:C13,"N")</f>
        <v>8</v>
      </c>
      <c r="C25" s="81">
        <f>SUMIF('pow rez'!C3:C13,"N",'pow rez'!J3:J13)</f>
        <v>29997175</v>
      </c>
      <c r="D25" s="82">
        <f>SUMIF('pow rez'!C3:C13,"N",'pow rez'!L3:L13)</f>
        <v>12882513</v>
      </c>
      <c r="E25" s="31">
        <f>SUMIF('pow rez'!C3:C13,"N",'pow rez'!K3:K13)</f>
        <v>17114662</v>
      </c>
      <c r="F25" s="86">
        <f>SUMIF('pow rez'!C3:C13,"N",'pow rez'!N3:N13)</f>
        <v>0</v>
      </c>
      <c r="G25" s="81">
        <f>SUMIF('pow rez'!C3:C13,"N",'pow rez'!O3:O13)</f>
        <v>0</v>
      </c>
      <c r="H25" s="81">
        <f>SUMIF('pow rez'!C3:C13,"N",'pow rez'!P3:P13)</f>
        <v>0</v>
      </c>
      <c r="I25" s="81">
        <f>SUMIF('pow rez'!C3:C13,"N",'pow rez'!Q3:Q13)</f>
        <v>17114662</v>
      </c>
      <c r="J25" s="81">
        <f>SUMIF('pow rez'!C3:C13,"N",'pow rez'!R3:R13)</f>
        <v>0</v>
      </c>
      <c r="K25" s="81">
        <f>SUMIF('pow rez'!C3:C13,"N",'pow rez'!S3:S13)</f>
        <v>0</v>
      </c>
      <c r="L25" s="81">
        <f>SUMIF('pow rez'!C3:C13,"N",'pow rez'!T3:T13)</f>
        <v>0</v>
      </c>
      <c r="M25" s="81">
        <f>SUMIF('pow rez'!C3:C13,"N",'pow rez'!U3:U13)</f>
        <v>0</v>
      </c>
      <c r="N25" s="81">
        <f>SUMIF('pow rez'!C3:C13,"N",'pow rez'!V3:V13)</f>
        <v>0</v>
      </c>
      <c r="O25" s="134">
        <f>SUMIF('pow rez'!C3:C13,"N",'pow rez'!W3:W13)</f>
        <v>0</v>
      </c>
      <c r="P25" s="17" t="b">
        <f t="shared" si="7"/>
        <v>1</v>
      </c>
      <c r="Q25" s="29" t="b">
        <f t="shared" si="8"/>
        <v>1</v>
      </c>
      <c r="R25" s="18"/>
      <c r="S25" s="18"/>
      <c r="T25" s="19"/>
      <c r="U25" s="19"/>
      <c r="V25" s="19"/>
      <c r="W25" s="19"/>
      <c r="X25" s="19"/>
    </row>
    <row r="26" spans="1:24" ht="39.950000000000003" customHeight="1" thickBot="1" x14ac:dyDescent="0.3">
      <c r="A26" s="122" t="s">
        <v>37</v>
      </c>
      <c r="B26" s="103">
        <f>COUNTIF('pow rez'!C3:C13,"W")</f>
        <v>3</v>
      </c>
      <c r="C26" s="83">
        <f>SUMIF('pow rez'!C3:C13,"W",'pow rez'!J3:J13)</f>
        <v>27728466</v>
      </c>
      <c r="D26" s="84">
        <f>SUMIF('pow rez'!C3:C13,"W",'pow rez'!L3:L13)</f>
        <v>10301485</v>
      </c>
      <c r="E26" s="56">
        <f>SUMIF('pow rez'!C3:C13,"W",'pow rez'!K3:K13)</f>
        <v>17426981</v>
      </c>
      <c r="F26" s="87">
        <f>SUMIF('pow rez'!C3:C13,"w",'pow rez'!N3:N13)</f>
        <v>0</v>
      </c>
      <c r="G26" s="83">
        <f>SUMIF('pow rez'!C3:C13,"W",'pow rez'!O3:O13)</f>
        <v>0</v>
      </c>
      <c r="H26" s="83">
        <f>SUMIF('pow rez'!C3:C13,"W",'pow rez'!P3:P13)</f>
        <v>0</v>
      </c>
      <c r="I26" s="83">
        <f>SUMIF('pow rez'!C3:C13,"W",'pow rez'!Q3:Q13)</f>
        <v>4567080</v>
      </c>
      <c r="J26" s="83">
        <f>SUMIF('pow rez'!C3:C13,"W",'pow rez'!R3:R13)</f>
        <v>5859901</v>
      </c>
      <c r="K26" s="83">
        <f>SUMIF('pow rez'!C3:C13,"W",'pow rez'!S3:S13)</f>
        <v>3500000</v>
      </c>
      <c r="L26" s="83">
        <f>SUMIF('pow rez'!C3:C13,"W",'pow rez'!T3:T13)</f>
        <v>3500000</v>
      </c>
      <c r="M26" s="83">
        <f>SUMIF('pow rez'!C3:C13,"W",'pow rez'!U3:U13)</f>
        <v>0</v>
      </c>
      <c r="N26" s="83">
        <f>SUMIF('pow rez'!C3:C13,"W",'pow rez'!V3:V13)</f>
        <v>0</v>
      </c>
      <c r="O26" s="135">
        <f>SUMIF('pow rez'!C3:C13,"W",'pow rez'!W3:W13)</f>
        <v>0</v>
      </c>
      <c r="P26" s="17" t="b">
        <f t="shared" si="7"/>
        <v>1</v>
      </c>
      <c r="Q26" s="29" t="b">
        <f t="shared" si="8"/>
        <v>1</v>
      </c>
      <c r="R26" s="18"/>
      <c r="S26" s="18"/>
      <c r="T26" s="19"/>
      <c r="U26" s="19"/>
      <c r="V26" s="19"/>
      <c r="W26" s="19"/>
      <c r="X26" s="19"/>
    </row>
    <row r="27" spans="1:24" ht="39.950000000000003" customHeight="1" thickTop="1" x14ac:dyDescent="0.25">
      <c r="A27" s="116" t="s">
        <v>3</v>
      </c>
      <c r="B27" s="100">
        <f>COUNTA('gm rez'!L3:L39)</f>
        <v>37</v>
      </c>
      <c r="C27" s="52">
        <f>SUM('gm rez'!K3:K39)</f>
        <v>66134476</v>
      </c>
      <c r="D27" s="53">
        <f>SUM('gm rez'!M3:M39)</f>
        <v>28287412</v>
      </c>
      <c r="E27" s="54">
        <f>SUM('gm rez'!L3:L39)</f>
        <v>37847064</v>
      </c>
      <c r="F27" s="55">
        <f>SUM('gm rez'!O3:O39)</f>
        <v>0</v>
      </c>
      <c r="G27" s="52">
        <f>SUM('gm rez'!P3:P39)</f>
        <v>0</v>
      </c>
      <c r="H27" s="52">
        <f>SUM('gm rez'!Q3:Q39)</f>
        <v>0</v>
      </c>
      <c r="I27" s="52">
        <f>SUM('gm rez'!R3:R39)</f>
        <v>31363119</v>
      </c>
      <c r="J27" s="52">
        <f>SUM('gm rez'!S3:S39)</f>
        <v>5233048</v>
      </c>
      <c r="K27" s="52">
        <f>SUM('gm rez'!T3:T39)</f>
        <v>833931</v>
      </c>
      <c r="L27" s="52">
        <f>SUM('gm rez'!U3:U39)</f>
        <v>416966</v>
      </c>
      <c r="M27" s="52">
        <f>SUM('gm rez'!V3:V39)</f>
        <v>0</v>
      </c>
      <c r="N27" s="52">
        <f>SUM('gm rez'!W3:W39)</f>
        <v>0</v>
      </c>
      <c r="O27" s="136">
        <f>SUM('gm rez'!X3:X39)</f>
        <v>0</v>
      </c>
      <c r="P27" s="17" t="b">
        <f t="shared" si="7"/>
        <v>1</v>
      </c>
      <c r="Q27" s="29" t="b">
        <f t="shared" si="8"/>
        <v>1</v>
      </c>
      <c r="R27" s="24"/>
      <c r="S27" s="24"/>
      <c r="T27" s="25"/>
      <c r="U27" s="25"/>
      <c r="V27" s="20"/>
      <c r="W27" s="9"/>
      <c r="X27" s="9"/>
    </row>
    <row r="28" spans="1:24" ht="39.950000000000003" customHeight="1" x14ac:dyDescent="0.25">
      <c r="A28" s="120" t="s">
        <v>36</v>
      </c>
      <c r="B28" s="102">
        <f>COUNTIF('gm rez'!C3:C39,"N")</f>
        <v>31</v>
      </c>
      <c r="C28" s="81">
        <f>SUMIF('gm rez'!C3:C39,"N",'gm rez'!K3:K39)</f>
        <v>38770221</v>
      </c>
      <c r="D28" s="82">
        <f>SUMIF('gm rez'!C3:C39,"N",'gm rez'!M3:M39)</f>
        <v>14694826</v>
      </c>
      <c r="E28" s="31">
        <f>SUMIF('gm rez'!C3:C39,"N",'gm rez'!L3:L39)</f>
        <v>24075395</v>
      </c>
      <c r="F28" s="86">
        <f>SUMIF('gm rez'!C3:C39,"N",'gm rez'!O3:O39)</f>
        <v>0</v>
      </c>
      <c r="G28" s="81">
        <f>SUMIF('gm rez'!C3:C39,"N",'gm rez'!P3:P39)</f>
        <v>0</v>
      </c>
      <c r="H28" s="81">
        <f>SUMIF('gm rez'!C3:C39,"N",'gm rez'!Q3:Q39)</f>
        <v>0</v>
      </c>
      <c r="I28" s="81">
        <f>SUMIF('gm rez'!C3:C39,"N",'gm rez'!R3:R39)</f>
        <v>24075395</v>
      </c>
      <c r="J28" s="81">
        <f>SUMIF('gm rez'!C3:C39,"N",'gm rez'!S3:S39)</f>
        <v>0</v>
      </c>
      <c r="K28" s="81">
        <f>SUMIF('gm rez'!C3:C39,"N",'gm rez'!T3:T39)</f>
        <v>0</v>
      </c>
      <c r="L28" s="81">
        <f>SUMIF('gm rez'!C3:C39,"N",'gm rez'!U3:U39)</f>
        <v>0</v>
      </c>
      <c r="M28" s="81">
        <f>SUMIF('gm rez'!C3:C39,"N",'gm rez'!V3:V39)</f>
        <v>0</v>
      </c>
      <c r="N28" s="81">
        <f>SUMIF('gm rez'!C3:C39,"N",'gm rez'!W3:W39)</f>
        <v>0</v>
      </c>
      <c r="O28" s="134">
        <f>SUMIF('gm rez'!C3:C39,"N",'gm rez'!X3:X39)</f>
        <v>0</v>
      </c>
      <c r="P28" s="17" t="b">
        <f t="shared" si="7"/>
        <v>1</v>
      </c>
      <c r="Q28" s="29" t="b">
        <f t="shared" si="8"/>
        <v>1</v>
      </c>
      <c r="R28" s="24"/>
      <c r="S28" s="24"/>
      <c r="T28" s="25"/>
      <c r="U28" s="25"/>
      <c r="V28" s="20"/>
      <c r="W28" s="9"/>
      <c r="X28" s="9"/>
    </row>
    <row r="29" spans="1:24" ht="39.950000000000003" customHeight="1" thickBot="1" x14ac:dyDescent="0.3">
      <c r="A29" s="122" t="s">
        <v>37</v>
      </c>
      <c r="B29" s="103">
        <f>COUNTIF('gm rez'!C3:C39,"W")</f>
        <v>6</v>
      </c>
      <c r="C29" s="83">
        <f>SUMIF('gm rez'!C3:C39,"W",'gm rez'!K3:K39)</f>
        <v>27364255</v>
      </c>
      <c r="D29" s="84">
        <f>SUMIF('gm rez'!C3:C39,"W",'gm rez'!M3:M39)</f>
        <v>13592586</v>
      </c>
      <c r="E29" s="56">
        <f>SUMIF('gm rez'!C3:C39,"W",'gm rez'!L3:L39)</f>
        <v>13771669</v>
      </c>
      <c r="F29" s="87">
        <f>SUMIF('gm rez'!C3:C39,"W",'gm rez'!O3:O39)</f>
        <v>0</v>
      </c>
      <c r="G29" s="83">
        <f>SUMIF('gm rez'!C3:C39,"W",'gm rez'!P3:P39)</f>
        <v>0</v>
      </c>
      <c r="H29" s="83">
        <f>SUMIF('gm rez'!C3:C39,"W",'gm rez'!Q3:Q39)</f>
        <v>0</v>
      </c>
      <c r="I29" s="83">
        <f>SUMIF('gm rez'!C3:C39,"W",'gm rez'!R3:R39)</f>
        <v>7287724</v>
      </c>
      <c r="J29" s="83">
        <f>SUMIF('gm rez'!C3:C39,"W",'gm rez'!S3:S39)</f>
        <v>5233048</v>
      </c>
      <c r="K29" s="83">
        <f>SUMIF('gm rez'!C3:C39,"W",'gm rez'!T3:T39)</f>
        <v>833931</v>
      </c>
      <c r="L29" s="83">
        <f>SUMIF('gm rez'!C3:C39,"W",'gm rez'!U3:U39)</f>
        <v>416966</v>
      </c>
      <c r="M29" s="83">
        <f>SUMIF('gm rez'!C3:C39,"W",'gm rez'!V3:V39)</f>
        <v>0</v>
      </c>
      <c r="N29" s="83">
        <f>SUMIF('gm rez'!C3:C39,"W",'gm rez'!W3:W39)</f>
        <v>0</v>
      </c>
      <c r="O29" s="135">
        <f>SUMIF('gm rez'!C3:C39,"W",'gm rez'!X3:X39)</f>
        <v>0</v>
      </c>
      <c r="P29" s="17" t="b">
        <f t="shared" si="7"/>
        <v>1</v>
      </c>
      <c r="Q29" s="29" t="b">
        <f t="shared" si="8"/>
        <v>1</v>
      </c>
      <c r="R29" s="24"/>
      <c r="S29" s="24"/>
      <c r="T29" s="25"/>
      <c r="U29" s="25"/>
      <c r="V29" s="20"/>
      <c r="W29" s="9"/>
      <c r="X29" s="9"/>
    </row>
    <row r="30" spans="1:24" ht="39.950000000000003" customHeight="1" thickTop="1" x14ac:dyDescent="0.25">
      <c r="A30" s="64" t="s">
        <v>172</v>
      </c>
      <c r="B30" s="109">
        <f>B24+B27</f>
        <v>48</v>
      </c>
      <c r="C30" s="65">
        <f t="shared" ref="C30:O30" si="9">C24+C27</f>
        <v>123860117</v>
      </c>
      <c r="D30" s="66">
        <f t="shared" si="9"/>
        <v>51471410</v>
      </c>
      <c r="E30" s="51">
        <f t="shared" si="9"/>
        <v>72388707</v>
      </c>
      <c r="F30" s="67">
        <f t="shared" si="9"/>
        <v>0</v>
      </c>
      <c r="G30" s="65">
        <f t="shared" si="9"/>
        <v>0</v>
      </c>
      <c r="H30" s="65">
        <f t="shared" si="9"/>
        <v>0</v>
      </c>
      <c r="I30" s="65">
        <f t="shared" si="9"/>
        <v>53044861</v>
      </c>
      <c r="J30" s="65">
        <f t="shared" si="9"/>
        <v>11092949</v>
      </c>
      <c r="K30" s="65">
        <f t="shared" si="9"/>
        <v>4333931</v>
      </c>
      <c r="L30" s="65">
        <f t="shared" si="9"/>
        <v>3916966</v>
      </c>
      <c r="M30" s="65">
        <f t="shared" si="9"/>
        <v>0</v>
      </c>
      <c r="N30" s="65">
        <f t="shared" si="9"/>
        <v>0</v>
      </c>
      <c r="O30" s="68">
        <f t="shared" si="9"/>
        <v>0</v>
      </c>
      <c r="P30" s="17" t="b">
        <f t="shared" si="7"/>
        <v>1</v>
      </c>
      <c r="Q30" s="29" t="b">
        <f t="shared" si="8"/>
        <v>1</v>
      </c>
      <c r="R30" s="26"/>
      <c r="S30" s="26"/>
      <c r="T30" s="2"/>
      <c r="U30" s="2"/>
    </row>
    <row r="31" spans="1:24" ht="39.950000000000003" customHeight="1" x14ac:dyDescent="0.25">
      <c r="A31" s="40" t="s">
        <v>36</v>
      </c>
      <c r="B31" s="110">
        <f t="shared" ref="B31:O31" si="10">B25+B28</f>
        <v>39</v>
      </c>
      <c r="C31" s="34">
        <f t="shared" si="10"/>
        <v>68767396</v>
      </c>
      <c r="D31" s="43">
        <f t="shared" si="10"/>
        <v>27577339</v>
      </c>
      <c r="E31" s="31">
        <f t="shared" si="10"/>
        <v>41190057</v>
      </c>
      <c r="F31" s="47">
        <f t="shared" si="10"/>
        <v>0</v>
      </c>
      <c r="G31" s="34">
        <f t="shared" si="10"/>
        <v>0</v>
      </c>
      <c r="H31" s="34">
        <f t="shared" si="10"/>
        <v>0</v>
      </c>
      <c r="I31" s="34">
        <f t="shared" si="10"/>
        <v>41190057</v>
      </c>
      <c r="J31" s="34">
        <f t="shared" si="10"/>
        <v>0</v>
      </c>
      <c r="K31" s="34">
        <f t="shared" si="10"/>
        <v>0</v>
      </c>
      <c r="L31" s="34">
        <f t="shared" si="10"/>
        <v>0</v>
      </c>
      <c r="M31" s="34">
        <f t="shared" si="10"/>
        <v>0</v>
      </c>
      <c r="N31" s="34">
        <f t="shared" si="10"/>
        <v>0</v>
      </c>
      <c r="O31" s="39">
        <f t="shared" si="10"/>
        <v>0</v>
      </c>
      <c r="P31" s="17" t="b">
        <f t="shared" si="7"/>
        <v>1</v>
      </c>
      <c r="Q31" s="29" t="b">
        <f t="shared" si="8"/>
        <v>1</v>
      </c>
      <c r="R31" s="26"/>
      <c r="S31" s="26"/>
      <c r="T31" s="2"/>
      <c r="U31" s="2"/>
    </row>
    <row r="32" spans="1:24" ht="39.950000000000003" customHeight="1" thickBot="1" x14ac:dyDescent="0.3">
      <c r="A32" s="69" t="s">
        <v>37</v>
      </c>
      <c r="B32" s="111">
        <f t="shared" ref="B32:O32" si="11">B26+B29</f>
        <v>9</v>
      </c>
      <c r="C32" s="70">
        <f t="shared" si="11"/>
        <v>55092721</v>
      </c>
      <c r="D32" s="71">
        <f t="shared" si="11"/>
        <v>23894071</v>
      </c>
      <c r="E32" s="72">
        <f t="shared" si="11"/>
        <v>31198650</v>
      </c>
      <c r="F32" s="73">
        <f t="shared" si="11"/>
        <v>0</v>
      </c>
      <c r="G32" s="70">
        <f t="shared" si="11"/>
        <v>0</v>
      </c>
      <c r="H32" s="70">
        <f t="shared" si="11"/>
        <v>0</v>
      </c>
      <c r="I32" s="70">
        <f t="shared" si="11"/>
        <v>11854804</v>
      </c>
      <c r="J32" s="70">
        <f t="shared" si="11"/>
        <v>11092949</v>
      </c>
      <c r="K32" s="70">
        <f t="shared" si="11"/>
        <v>4333931</v>
      </c>
      <c r="L32" s="70">
        <f t="shared" si="11"/>
        <v>3916966</v>
      </c>
      <c r="M32" s="70">
        <f t="shared" si="11"/>
        <v>0</v>
      </c>
      <c r="N32" s="70">
        <f t="shared" si="11"/>
        <v>0</v>
      </c>
      <c r="O32" s="74">
        <f t="shared" si="11"/>
        <v>0</v>
      </c>
      <c r="P32" s="17" t="b">
        <f t="shared" si="7"/>
        <v>1</v>
      </c>
      <c r="Q32" s="29" t="b">
        <f t="shared" si="8"/>
        <v>1</v>
      </c>
      <c r="R32" s="26"/>
      <c r="S32" s="26"/>
      <c r="T32" s="2"/>
      <c r="U32" s="2"/>
    </row>
    <row r="33" spans="1:21" ht="39.950000000000003" customHeight="1" thickTop="1" x14ac:dyDescent="0.25">
      <c r="A33" s="137" t="s">
        <v>171</v>
      </c>
      <c r="B33" s="112">
        <f>B20+B30</f>
        <v>118</v>
      </c>
      <c r="C33" s="75">
        <f t="shared" ref="C33:O33" si="12">C20+C30</f>
        <v>463640948</v>
      </c>
      <c r="D33" s="76">
        <f t="shared" si="12"/>
        <v>211161402</v>
      </c>
      <c r="E33" s="77">
        <f t="shared" si="12"/>
        <v>252479546</v>
      </c>
      <c r="F33" s="78">
        <f t="shared" si="12"/>
        <v>922336</v>
      </c>
      <c r="G33" s="75">
        <f t="shared" si="12"/>
        <v>23504632</v>
      </c>
      <c r="H33" s="75">
        <f t="shared" si="12"/>
        <v>28424860</v>
      </c>
      <c r="I33" s="75">
        <f t="shared" si="12"/>
        <v>134954289</v>
      </c>
      <c r="J33" s="75">
        <f t="shared" si="12"/>
        <v>45016427</v>
      </c>
      <c r="K33" s="75">
        <f t="shared" si="12"/>
        <v>11400104</v>
      </c>
      <c r="L33" s="75">
        <f t="shared" si="12"/>
        <v>6065927</v>
      </c>
      <c r="M33" s="75">
        <f t="shared" si="12"/>
        <v>2190971</v>
      </c>
      <c r="N33" s="75">
        <f t="shared" si="12"/>
        <v>0</v>
      </c>
      <c r="O33" s="138">
        <f t="shared" si="12"/>
        <v>0</v>
      </c>
      <c r="P33" s="17" t="b">
        <f t="shared" si="7"/>
        <v>1</v>
      </c>
      <c r="Q33" s="29" t="b">
        <f t="shared" si="8"/>
        <v>1</v>
      </c>
      <c r="R33" s="26"/>
      <c r="S33" s="26"/>
      <c r="T33" s="2"/>
      <c r="U33" s="2"/>
    </row>
    <row r="34" spans="1:21" ht="39.950000000000003" customHeight="1" x14ac:dyDescent="0.25">
      <c r="A34" s="139" t="s">
        <v>35</v>
      </c>
      <c r="B34" s="113">
        <f>B21</f>
        <v>29</v>
      </c>
      <c r="C34" s="95">
        <f t="shared" ref="C34:O34" si="13">C21</f>
        <v>180327284</v>
      </c>
      <c r="D34" s="96">
        <f t="shared" si="13"/>
        <v>82828493</v>
      </c>
      <c r="E34" s="32">
        <f t="shared" si="13"/>
        <v>97498791</v>
      </c>
      <c r="F34" s="97">
        <f t="shared" si="13"/>
        <v>922336</v>
      </c>
      <c r="G34" s="97">
        <f t="shared" si="13"/>
        <v>23504632</v>
      </c>
      <c r="H34" s="97">
        <f t="shared" si="13"/>
        <v>28424860</v>
      </c>
      <c r="I34" s="97">
        <f t="shared" si="13"/>
        <v>33728592</v>
      </c>
      <c r="J34" s="97">
        <f t="shared" si="13"/>
        <v>3308124</v>
      </c>
      <c r="K34" s="97">
        <f t="shared" si="13"/>
        <v>3709852</v>
      </c>
      <c r="L34" s="97">
        <f t="shared" si="13"/>
        <v>1709424</v>
      </c>
      <c r="M34" s="97">
        <f t="shared" si="13"/>
        <v>2190971</v>
      </c>
      <c r="N34" s="97">
        <f t="shared" si="13"/>
        <v>0</v>
      </c>
      <c r="O34" s="140">
        <f t="shared" si="13"/>
        <v>0</v>
      </c>
      <c r="P34" s="17" t="b">
        <f t="shared" si="7"/>
        <v>1</v>
      </c>
      <c r="Q34" s="29" t="b">
        <f t="shared" si="8"/>
        <v>1</v>
      </c>
      <c r="R34" s="26"/>
      <c r="S34" s="26"/>
      <c r="T34" s="2"/>
      <c r="U34" s="2"/>
    </row>
    <row r="35" spans="1:21" ht="39.950000000000003" customHeight="1" x14ac:dyDescent="0.25">
      <c r="A35" s="141" t="s">
        <v>36</v>
      </c>
      <c r="B35" s="114">
        <f>B22+B31</f>
        <v>60</v>
      </c>
      <c r="C35" s="91">
        <f t="shared" ref="C35:O36" si="14">C22+C31</f>
        <v>110609008</v>
      </c>
      <c r="D35" s="92">
        <f t="shared" si="14"/>
        <v>44947592</v>
      </c>
      <c r="E35" s="93">
        <f t="shared" si="14"/>
        <v>65661416</v>
      </c>
      <c r="F35" s="94">
        <f t="shared" si="14"/>
        <v>0</v>
      </c>
      <c r="G35" s="91">
        <f t="shared" si="14"/>
        <v>0</v>
      </c>
      <c r="H35" s="91">
        <f t="shared" si="14"/>
        <v>0</v>
      </c>
      <c r="I35" s="91">
        <f t="shared" si="14"/>
        <v>65661416</v>
      </c>
      <c r="J35" s="91">
        <f t="shared" si="14"/>
        <v>0</v>
      </c>
      <c r="K35" s="91">
        <f t="shared" si="14"/>
        <v>0</v>
      </c>
      <c r="L35" s="91">
        <f t="shared" si="14"/>
        <v>0</v>
      </c>
      <c r="M35" s="91">
        <f t="shared" si="14"/>
        <v>0</v>
      </c>
      <c r="N35" s="91">
        <f t="shared" si="14"/>
        <v>0</v>
      </c>
      <c r="O35" s="142">
        <f t="shared" si="14"/>
        <v>0</v>
      </c>
      <c r="P35" s="17" t="b">
        <f t="shared" si="7"/>
        <v>1</v>
      </c>
      <c r="Q35" s="29" t="b">
        <f t="shared" si="8"/>
        <v>1</v>
      </c>
      <c r="R35" s="26"/>
      <c r="S35" s="26"/>
      <c r="T35" s="2"/>
      <c r="U35" s="2"/>
    </row>
    <row r="36" spans="1:21" ht="39.950000000000003" customHeight="1" thickBot="1" x14ac:dyDescent="0.3">
      <c r="A36" s="143" t="s">
        <v>37</v>
      </c>
      <c r="B36" s="144">
        <f>B23+B32</f>
        <v>29</v>
      </c>
      <c r="C36" s="145">
        <f t="shared" si="14"/>
        <v>172704656</v>
      </c>
      <c r="D36" s="146">
        <f t="shared" si="14"/>
        <v>83385317</v>
      </c>
      <c r="E36" s="147">
        <f t="shared" si="14"/>
        <v>89319339</v>
      </c>
      <c r="F36" s="148">
        <f t="shared" si="14"/>
        <v>0</v>
      </c>
      <c r="G36" s="145">
        <f t="shared" si="14"/>
        <v>0</v>
      </c>
      <c r="H36" s="145">
        <f t="shared" si="14"/>
        <v>0</v>
      </c>
      <c r="I36" s="145">
        <f t="shared" si="14"/>
        <v>35564281</v>
      </c>
      <c r="J36" s="145">
        <f t="shared" si="14"/>
        <v>41708303</v>
      </c>
      <c r="K36" s="145">
        <f t="shared" si="14"/>
        <v>7690252</v>
      </c>
      <c r="L36" s="145">
        <f t="shared" si="14"/>
        <v>4356503</v>
      </c>
      <c r="M36" s="145">
        <f t="shared" si="14"/>
        <v>0</v>
      </c>
      <c r="N36" s="145">
        <f t="shared" si="14"/>
        <v>0</v>
      </c>
      <c r="O36" s="149">
        <f t="shared" si="14"/>
        <v>0</v>
      </c>
      <c r="P36" s="17" t="b">
        <f t="shared" si="7"/>
        <v>1</v>
      </c>
      <c r="Q36" s="29" t="b">
        <f t="shared" si="8"/>
        <v>1</v>
      </c>
      <c r="R36" s="26"/>
      <c r="S36" s="26"/>
      <c r="T36" s="2"/>
      <c r="U36" s="2"/>
    </row>
    <row r="37" spans="1:21" x14ac:dyDescent="0.25">
      <c r="A37" s="27"/>
      <c r="B37" s="3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6"/>
      <c r="S37" s="26"/>
      <c r="T37" s="2"/>
      <c r="U37" s="2"/>
    </row>
    <row r="38" spans="1:21" x14ac:dyDescent="0.25">
      <c r="A38" s="27"/>
      <c r="B38" s="30" t="b">
        <f>B33=B34+B35+B36</f>
        <v>1</v>
      </c>
      <c r="C38" s="27" t="b">
        <f t="shared" ref="C38:O38" si="15">C33=C34+C35+C36</f>
        <v>1</v>
      </c>
      <c r="D38" s="27" t="b">
        <f t="shared" si="15"/>
        <v>1</v>
      </c>
      <c r="E38" s="27" t="b">
        <f t="shared" si="15"/>
        <v>1</v>
      </c>
      <c r="F38" s="27" t="b">
        <f t="shared" si="15"/>
        <v>1</v>
      </c>
      <c r="G38" s="27" t="b">
        <f t="shared" si="15"/>
        <v>1</v>
      </c>
      <c r="H38" s="27" t="b">
        <f t="shared" si="15"/>
        <v>1</v>
      </c>
      <c r="I38" s="27" t="b">
        <f t="shared" si="15"/>
        <v>1</v>
      </c>
      <c r="J38" s="27" t="b">
        <f t="shared" si="15"/>
        <v>1</v>
      </c>
      <c r="K38" s="27" t="b">
        <f t="shared" si="15"/>
        <v>1</v>
      </c>
      <c r="L38" s="27" t="b">
        <f t="shared" si="15"/>
        <v>1</v>
      </c>
      <c r="M38" s="27" t="b">
        <f t="shared" si="15"/>
        <v>1</v>
      </c>
      <c r="N38" s="27" t="b">
        <f t="shared" si="15"/>
        <v>1</v>
      </c>
      <c r="O38" s="27" t="b">
        <f t="shared" si="15"/>
        <v>1</v>
      </c>
      <c r="P38" s="27"/>
      <c r="Q38" s="27"/>
      <c r="R38" s="26"/>
      <c r="S38" s="26"/>
      <c r="T38" s="2"/>
      <c r="U38" s="2"/>
    </row>
    <row r="39" spans="1:21" x14ac:dyDescent="0.25">
      <c r="A39" s="27"/>
      <c r="B39" s="30" t="b">
        <f>B21=B34</f>
        <v>1</v>
      </c>
      <c r="C39" s="27" t="b">
        <f t="shared" ref="C39:O39" si="16">C21=C34</f>
        <v>1</v>
      </c>
      <c r="D39" s="27" t="b">
        <f t="shared" si="16"/>
        <v>1</v>
      </c>
      <c r="E39" s="27" t="b">
        <f t="shared" si="16"/>
        <v>1</v>
      </c>
      <c r="F39" s="27" t="b">
        <f t="shared" si="16"/>
        <v>1</v>
      </c>
      <c r="G39" s="27" t="b">
        <f t="shared" si="16"/>
        <v>1</v>
      </c>
      <c r="H39" s="27" t="b">
        <f t="shared" si="16"/>
        <v>1</v>
      </c>
      <c r="I39" s="27" t="b">
        <f t="shared" si="16"/>
        <v>1</v>
      </c>
      <c r="J39" s="27" t="b">
        <f t="shared" si="16"/>
        <v>1</v>
      </c>
      <c r="K39" s="27" t="b">
        <f t="shared" si="16"/>
        <v>1</v>
      </c>
      <c r="L39" s="27" t="b">
        <f t="shared" si="16"/>
        <v>1</v>
      </c>
      <c r="M39" s="27" t="b">
        <f t="shared" si="16"/>
        <v>1</v>
      </c>
      <c r="N39" s="27" t="b">
        <f t="shared" si="16"/>
        <v>1</v>
      </c>
      <c r="O39" s="27" t="b">
        <f t="shared" si="16"/>
        <v>1</v>
      </c>
      <c r="P39" s="27"/>
      <c r="Q39" s="27"/>
      <c r="R39" s="26"/>
      <c r="S39" s="26"/>
      <c r="T39" s="2"/>
      <c r="U39" s="2"/>
    </row>
    <row r="40" spans="1:21" x14ac:dyDescent="0.25">
      <c r="A40" s="27"/>
      <c r="B40" s="30" t="b">
        <f>B14+B18+B25+B28=B35</f>
        <v>1</v>
      </c>
      <c r="C40" s="27" t="b">
        <f t="shared" ref="C40:O41" si="17">C14+C18+C25+C28=C35</f>
        <v>1</v>
      </c>
      <c r="D40" s="27" t="b">
        <f t="shared" si="17"/>
        <v>1</v>
      </c>
      <c r="E40" s="27" t="b">
        <f t="shared" si="17"/>
        <v>1</v>
      </c>
      <c r="F40" s="27" t="b">
        <f t="shared" si="17"/>
        <v>1</v>
      </c>
      <c r="G40" s="27" t="b">
        <f t="shared" si="17"/>
        <v>1</v>
      </c>
      <c r="H40" s="27" t="b">
        <f t="shared" si="17"/>
        <v>1</v>
      </c>
      <c r="I40" s="27" t="b">
        <f t="shared" si="17"/>
        <v>1</v>
      </c>
      <c r="J40" s="27" t="b">
        <f t="shared" si="17"/>
        <v>1</v>
      </c>
      <c r="K40" s="27" t="b">
        <f t="shared" si="17"/>
        <v>1</v>
      </c>
      <c r="L40" s="27" t="b">
        <f t="shared" si="17"/>
        <v>1</v>
      </c>
      <c r="M40" s="27" t="b">
        <f t="shared" si="17"/>
        <v>1</v>
      </c>
      <c r="N40" s="27" t="b">
        <f t="shared" si="17"/>
        <v>1</v>
      </c>
      <c r="O40" s="27" t="b">
        <f t="shared" si="17"/>
        <v>1</v>
      </c>
      <c r="P40" s="27"/>
      <c r="Q40" s="27"/>
      <c r="R40" s="26"/>
      <c r="S40" s="26"/>
      <c r="T40" s="2"/>
      <c r="U40" s="2"/>
    </row>
    <row r="41" spans="1:21" x14ac:dyDescent="0.25">
      <c r="A41" s="28"/>
      <c r="B41" s="115" t="b">
        <f>B15+B19+B26+B29=B36</f>
        <v>1</v>
      </c>
      <c r="C41" s="28" t="b">
        <f t="shared" si="17"/>
        <v>1</v>
      </c>
      <c r="D41" s="28" t="b">
        <f t="shared" si="17"/>
        <v>1</v>
      </c>
      <c r="E41" s="28" t="b">
        <f t="shared" si="17"/>
        <v>1</v>
      </c>
      <c r="F41" s="28" t="b">
        <f t="shared" si="17"/>
        <v>1</v>
      </c>
      <c r="G41" s="28" t="b">
        <f t="shared" si="17"/>
        <v>1</v>
      </c>
      <c r="H41" s="28" t="b">
        <f t="shared" si="17"/>
        <v>1</v>
      </c>
      <c r="I41" s="28" t="b">
        <f t="shared" si="17"/>
        <v>1</v>
      </c>
      <c r="J41" s="28" t="b">
        <f t="shared" si="17"/>
        <v>1</v>
      </c>
      <c r="K41" s="28" t="b">
        <f t="shared" si="17"/>
        <v>1</v>
      </c>
      <c r="L41" s="28" t="b">
        <f t="shared" si="17"/>
        <v>1</v>
      </c>
      <c r="M41" s="28" t="b">
        <f t="shared" si="17"/>
        <v>1</v>
      </c>
      <c r="N41" s="28" t="b">
        <f t="shared" si="17"/>
        <v>1</v>
      </c>
      <c r="O41" s="28" t="b">
        <f t="shared" si="17"/>
        <v>1</v>
      </c>
      <c r="P41" s="28"/>
      <c r="Q41" s="28"/>
      <c r="R41" s="2"/>
      <c r="S41" s="2"/>
      <c r="T41" s="2"/>
      <c r="U41" s="2"/>
    </row>
    <row r="42" spans="1:21" x14ac:dyDescent="0.25">
      <c r="A42" s="28"/>
      <c r="B42" s="115" t="b">
        <f>B12=B13+B14+B15</f>
        <v>1</v>
      </c>
      <c r="C42" s="28" t="b">
        <f t="shared" ref="C42:O42" si="18">C12=C13+C14+C15</f>
        <v>1</v>
      </c>
      <c r="D42" s="28" t="b">
        <f t="shared" si="18"/>
        <v>1</v>
      </c>
      <c r="E42" s="28" t="b">
        <f t="shared" si="18"/>
        <v>1</v>
      </c>
      <c r="F42" s="28" t="b">
        <f t="shared" si="18"/>
        <v>1</v>
      </c>
      <c r="G42" s="28" t="b">
        <f t="shared" si="18"/>
        <v>1</v>
      </c>
      <c r="H42" s="28" t="b">
        <f t="shared" si="18"/>
        <v>1</v>
      </c>
      <c r="I42" s="28" t="b">
        <f t="shared" si="18"/>
        <v>1</v>
      </c>
      <c r="J42" s="28" t="b">
        <f t="shared" si="18"/>
        <v>1</v>
      </c>
      <c r="K42" s="28" t="b">
        <f t="shared" si="18"/>
        <v>1</v>
      </c>
      <c r="L42" s="28" t="b">
        <f t="shared" si="18"/>
        <v>1</v>
      </c>
      <c r="M42" s="28" t="b">
        <f t="shared" si="18"/>
        <v>1</v>
      </c>
      <c r="N42" s="28" t="b">
        <f t="shared" si="18"/>
        <v>1</v>
      </c>
      <c r="O42" s="28" t="b">
        <f t="shared" si="18"/>
        <v>1</v>
      </c>
      <c r="P42" s="28"/>
      <c r="Q42" s="28"/>
      <c r="R42" s="2"/>
      <c r="S42" s="2"/>
      <c r="T42" s="2"/>
      <c r="U42" s="2"/>
    </row>
    <row r="43" spans="1:21" x14ac:dyDescent="0.25">
      <c r="A43" s="28"/>
      <c r="B43" s="115" t="b">
        <f>B16=B17+B18+B19</f>
        <v>1</v>
      </c>
      <c r="C43" s="28" t="b">
        <f t="shared" ref="C43:O43" si="19">C16=C17+C18+C19</f>
        <v>1</v>
      </c>
      <c r="D43" s="28" t="b">
        <f t="shared" si="19"/>
        <v>1</v>
      </c>
      <c r="E43" s="28" t="b">
        <f t="shared" si="19"/>
        <v>1</v>
      </c>
      <c r="F43" s="28" t="b">
        <f t="shared" si="19"/>
        <v>1</v>
      </c>
      <c r="G43" s="28" t="b">
        <f t="shared" si="19"/>
        <v>1</v>
      </c>
      <c r="H43" s="28" t="b">
        <f t="shared" si="19"/>
        <v>1</v>
      </c>
      <c r="I43" s="28" t="b">
        <f t="shared" si="19"/>
        <v>1</v>
      </c>
      <c r="J43" s="28" t="b">
        <f t="shared" si="19"/>
        <v>1</v>
      </c>
      <c r="K43" s="28" t="b">
        <f t="shared" si="19"/>
        <v>1</v>
      </c>
      <c r="L43" s="28" t="b">
        <f t="shared" si="19"/>
        <v>1</v>
      </c>
      <c r="M43" s="28" t="b">
        <f t="shared" si="19"/>
        <v>1</v>
      </c>
      <c r="N43" s="28" t="b">
        <f t="shared" si="19"/>
        <v>1</v>
      </c>
      <c r="O43" s="28" t="b">
        <f t="shared" si="19"/>
        <v>1</v>
      </c>
      <c r="P43" s="28"/>
      <c r="Q43" s="28"/>
      <c r="R43" s="2"/>
      <c r="S43" s="2"/>
      <c r="T43" s="2"/>
      <c r="U43" s="2"/>
    </row>
    <row r="44" spans="1:21" x14ac:dyDescent="0.25">
      <c r="B44" s="1" t="b">
        <f>B20=B21+B22+B23</f>
        <v>1</v>
      </c>
      <c r="C44" s="11" t="b">
        <f t="shared" ref="C44:O44" si="20">C20=C21+C22+C23</f>
        <v>1</v>
      </c>
      <c r="D44" s="11" t="b">
        <f t="shared" si="20"/>
        <v>1</v>
      </c>
      <c r="E44" s="11" t="b">
        <f t="shared" si="20"/>
        <v>1</v>
      </c>
      <c r="F44" s="11" t="b">
        <f t="shared" si="20"/>
        <v>1</v>
      </c>
      <c r="G44" s="11" t="b">
        <f t="shared" si="20"/>
        <v>1</v>
      </c>
      <c r="H44" s="11" t="b">
        <f t="shared" si="20"/>
        <v>1</v>
      </c>
      <c r="I44" s="11" t="b">
        <f t="shared" si="20"/>
        <v>1</v>
      </c>
      <c r="J44" s="11" t="b">
        <f t="shared" si="20"/>
        <v>1</v>
      </c>
      <c r="K44" s="11" t="b">
        <f t="shared" si="20"/>
        <v>1</v>
      </c>
      <c r="L44" s="11" t="b">
        <f t="shared" si="20"/>
        <v>1</v>
      </c>
      <c r="M44" s="11" t="b">
        <f t="shared" si="20"/>
        <v>1</v>
      </c>
      <c r="N44" s="11" t="b">
        <f t="shared" si="20"/>
        <v>1</v>
      </c>
      <c r="O44" s="11" t="b">
        <f t="shared" si="20"/>
        <v>1</v>
      </c>
    </row>
    <row r="45" spans="1:21" x14ac:dyDescent="0.25">
      <c r="B45" s="1" t="b">
        <f>B24=B25+B26</f>
        <v>1</v>
      </c>
      <c r="C45" s="11" t="b">
        <f t="shared" ref="C45:O45" si="21">C24=C25+C26</f>
        <v>1</v>
      </c>
      <c r="D45" s="11" t="b">
        <f t="shared" si="21"/>
        <v>1</v>
      </c>
      <c r="E45" s="11" t="b">
        <f t="shared" si="21"/>
        <v>1</v>
      </c>
      <c r="F45" s="11" t="b">
        <f t="shared" si="21"/>
        <v>1</v>
      </c>
      <c r="G45" s="11" t="b">
        <f t="shared" si="21"/>
        <v>1</v>
      </c>
      <c r="H45" s="11" t="b">
        <f t="shared" si="21"/>
        <v>1</v>
      </c>
      <c r="I45" s="11" t="b">
        <f t="shared" si="21"/>
        <v>1</v>
      </c>
      <c r="J45" s="11" t="b">
        <f t="shared" si="21"/>
        <v>1</v>
      </c>
      <c r="K45" s="11" t="b">
        <f t="shared" si="21"/>
        <v>1</v>
      </c>
      <c r="L45" s="11" t="b">
        <f t="shared" si="21"/>
        <v>1</v>
      </c>
      <c r="M45" s="11" t="b">
        <f t="shared" si="21"/>
        <v>1</v>
      </c>
      <c r="N45" s="11" t="b">
        <f t="shared" si="21"/>
        <v>1</v>
      </c>
      <c r="O45" s="11" t="b">
        <f t="shared" si="21"/>
        <v>1</v>
      </c>
    </row>
    <row r="46" spans="1:21" x14ac:dyDescent="0.25">
      <c r="B46" s="1" t="b">
        <f>B27=B28+B29</f>
        <v>1</v>
      </c>
      <c r="C46" s="11" t="b">
        <f t="shared" ref="C46:O46" si="22">C27=C28+C29</f>
        <v>1</v>
      </c>
      <c r="D46" s="11" t="b">
        <f t="shared" si="22"/>
        <v>1</v>
      </c>
      <c r="E46" s="11" t="b">
        <f t="shared" si="22"/>
        <v>1</v>
      </c>
      <c r="F46" s="11" t="b">
        <f t="shared" si="22"/>
        <v>1</v>
      </c>
      <c r="G46" s="11" t="b">
        <f t="shared" si="22"/>
        <v>1</v>
      </c>
      <c r="H46" s="11" t="b">
        <f t="shared" si="22"/>
        <v>1</v>
      </c>
      <c r="I46" s="11" t="b">
        <f t="shared" si="22"/>
        <v>1</v>
      </c>
      <c r="J46" s="11" t="b">
        <f t="shared" si="22"/>
        <v>1</v>
      </c>
      <c r="K46" s="11" t="b">
        <f t="shared" si="22"/>
        <v>1</v>
      </c>
      <c r="L46" s="11" t="b">
        <f t="shared" si="22"/>
        <v>1</v>
      </c>
      <c r="M46" s="11" t="b">
        <f t="shared" si="22"/>
        <v>1</v>
      </c>
      <c r="N46" s="11" t="b">
        <f t="shared" si="22"/>
        <v>1</v>
      </c>
      <c r="O46" s="11" t="b">
        <f t="shared" si="22"/>
        <v>1</v>
      </c>
    </row>
    <row r="47" spans="1:21" x14ac:dyDescent="0.25">
      <c r="B47" s="1" t="b">
        <f>B30=+B31+B32</f>
        <v>1</v>
      </c>
      <c r="C47" s="11" t="b">
        <f t="shared" ref="C47:O47" si="23">C30=+C31+C32</f>
        <v>1</v>
      </c>
      <c r="D47" s="11" t="b">
        <f t="shared" si="23"/>
        <v>1</v>
      </c>
      <c r="E47" s="11" t="b">
        <f t="shared" si="23"/>
        <v>1</v>
      </c>
      <c r="F47" s="11" t="b">
        <f t="shared" si="23"/>
        <v>1</v>
      </c>
      <c r="G47" s="11" t="b">
        <f t="shared" si="23"/>
        <v>1</v>
      </c>
      <c r="H47" s="11" t="b">
        <f t="shared" si="23"/>
        <v>1</v>
      </c>
      <c r="I47" s="11" t="b">
        <f t="shared" si="23"/>
        <v>1</v>
      </c>
      <c r="J47" s="11" t="b">
        <f t="shared" si="23"/>
        <v>1</v>
      </c>
      <c r="K47" s="11" t="b">
        <f t="shared" si="23"/>
        <v>1</v>
      </c>
      <c r="L47" s="11" t="b">
        <f t="shared" si="23"/>
        <v>1</v>
      </c>
      <c r="M47" s="11" t="b">
        <f t="shared" si="23"/>
        <v>1</v>
      </c>
      <c r="N47" s="11" t="b">
        <f t="shared" si="23"/>
        <v>1</v>
      </c>
      <c r="O47" s="11" t="b">
        <f t="shared" si="23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Header>&amp;LWojewództwo &amp;K000000Lubuskie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showGridLines="0" view="pageBreakPreview" zoomScale="85" zoomScaleNormal="78" zoomScaleSheetLayoutView="85" workbookViewId="0">
      <selection sqref="A1:A2"/>
    </sheetView>
  </sheetViews>
  <sheetFormatPr defaultRowHeight="12" x14ac:dyDescent="0.2"/>
  <cols>
    <col min="1" max="1" width="5" style="226" customWidth="1"/>
    <col min="2" max="2" width="12" style="226" customWidth="1"/>
    <col min="3" max="3" width="18.5703125" style="226" customWidth="1"/>
    <col min="4" max="4" width="14.7109375" style="226" customWidth="1"/>
    <col min="5" max="5" width="10.7109375" style="226" customWidth="1"/>
    <col min="6" max="6" width="38.7109375" style="226" customWidth="1"/>
    <col min="7" max="7" width="8.7109375" style="226" customWidth="1"/>
    <col min="8" max="8" width="15.85546875" style="226" customWidth="1"/>
    <col min="9" max="9" width="19.7109375" style="226" customWidth="1"/>
    <col min="10" max="10" width="19.28515625" style="271" customWidth="1"/>
    <col min="11" max="11" width="15.5703125" style="226" customWidth="1"/>
    <col min="12" max="12" width="13.85546875" style="226" customWidth="1"/>
    <col min="13" max="13" width="13.140625" style="173" customWidth="1"/>
    <col min="14" max="14" width="11.28515625" style="226" customWidth="1"/>
    <col min="15" max="16" width="15.140625" style="226" customWidth="1"/>
    <col min="17" max="17" width="14.85546875" style="226" customWidth="1"/>
    <col min="18" max="18" width="13.85546875" style="226" customWidth="1"/>
    <col min="19" max="23" width="9.85546875" style="226" customWidth="1"/>
    <col min="24" max="24" width="15.7109375" style="174" customWidth="1"/>
    <col min="25" max="26" width="15.7109375" style="173" customWidth="1"/>
    <col min="27" max="27" width="15.7109375" style="174" customWidth="1"/>
    <col min="28" max="16384" width="9.140625" style="226"/>
  </cols>
  <sheetData>
    <row r="1" spans="1:28" ht="20.100000000000001" customHeight="1" x14ac:dyDescent="0.2">
      <c r="A1" s="169" t="s">
        <v>174</v>
      </c>
      <c r="B1" s="169" t="s">
        <v>4</v>
      </c>
      <c r="C1" s="170" t="s">
        <v>41</v>
      </c>
      <c r="D1" s="171" t="s">
        <v>5</v>
      </c>
      <c r="E1" s="171" t="s">
        <v>31</v>
      </c>
      <c r="F1" s="171" t="s">
        <v>6</v>
      </c>
      <c r="G1" s="169" t="s">
        <v>24</v>
      </c>
      <c r="H1" s="169" t="s">
        <v>7</v>
      </c>
      <c r="I1" s="169" t="s">
        <v>21</v>
      </c>
      <c r="J1" s="172" t="s">
        <v>8</v>
      </c>
      <c r="K1" s="169" t="s">
        <v>15</v>
      </c>
      <c r="L1" s="171" t="s">
        <v>12</v>
      </c>
      <c r="M1" s="169" t="s">
        <v>10</v>
      </c>
      <c r="N1" s="169" t="s">
        <v>11</v>
      </c>
      <c r="O1" s="169"/>
      <c r="P1" s="169"/>
      <c r="Q1" s="169"/>
      <c r="R1" s="169"/>
      <c r="S1" s="169"/>
      <c r="T1" s="169"/>
      <c r="U1" s="169"/>
      <c r="V1" s="169"/>
      <c r="W1" s="169"/>
      <c r="X1" s="173"/>
    </row>
    <row r="2" spans="1:28" ht="32.25" customHeight="1" x14ac:dyDescent="0.2">
      <c r="A2" s="169"/>
      <c r="B2" s="169"/>
      <c r="C2" s="175"/>
      <c r="D2" s="176"/>
      <c r="E2" s="176"/>
      <c r="F2" s="176"/>
      <c r="G2" s="169"/>
      <c r="H2" s="169"/>
      <c r="I2" s="169"/>
      <c r="J2" s="172"/>
      <c r="K2" s="169"/>
      <c r="L2" s="176"/>
      <c r="M2" s="169"/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>
        <v>2024</v>
      </c>
      <c r="T2" s="177">
        <v>2025</v>
      </c>
      <c r="U2" s="177">
        <v>2026</v>
      </c>
      <c r="V2" s="177">
        <v>2027</v>
      </c>
      <c r="W2" s="177">
        <v>2028</v>
      </c>
      <c r="X2" s="173" t="s">
        <v>27</v>
      </c>
      <c r="Y2" s="173" t="s">
        <v>28</v>
      </c>
      <c r="Z2" s="173" t="s">
        <v>29</v>
      </c>
      <c r="AA2" s="178" t="s">
        <v>30</v>
      </c>
    </row>
    <row r="3" spans="1:28" ht="54" customHeight="1" x14ac:dyDescent="0.2">
      <c r="A3" s="179" t="s">
        <v>43</v>
      </c>
      <c r="B3" s="180" t="s">
        <v>55</v>
      </c>
      <c r="C3" s="181" t="s">
        <v>57</v>
      </c>
      <c r="D3" s="180" t="s">
        <v>60</v>
      </c>
      <c r="E3" s="182" t="s">
        <v>245</v>
      </c>
      <c r="F3" s="180" t="s">
        <v>68</v>
      </c>
      <c r="G3" s="179" t="s">
        <v>70</v>
      </c>
      <c r="H3" s="183">
        <v>3.6659999999999999</v>
      </c>
      <c r="I3" s="180" t="s">
        <v>72</v>
      </c>
      <c r="J3" s="184">
        <v>28198368</v>
      </c>
      <c r="K3" s="185">
        <f>ROUNDDOWN(J3*M3,0)</f>
        <v>14099184</v>
      </c>
      <c r="L3" s="186">
        <f t="shared" ref="L3:L20" si="0">J3-K3</f>
        <v>14099184</v>
      </c>
      <c r="M3" s="187">
        <v>0.5</v>
      </c>
      <c r="N3" s="185">
        <v>0</v>
      </c>
      <c r="O3" s="185">
        <v>5193812</v>
      </c>
      <c r="P3" s="186">
        <v>6882664</v>
      </c>
      <c r="Q3" s="186">
        <v>2022708</v>
      </c>
      <c r="R3" s="186"/>
      <c r="S3" s="186"/>
      <c r="T3" s="186"/>
      <c r="U3" s="186"/>
      <c r="V3" s="186"/>
      <c r="W3" s="186"/>
      <c r="X3" s="173" t="b">
        <f t="shared" ref="X3:X20" si="1">K3=SUM(N3:W3)</f>
        <v>1</v>
      </c>
      <c r="Y3" s="188">
        <f t="shared" ref="Y3:Y20" si="2">ROUND(K3/J3,4)</f>
        <v>0.5</v>
      </c>
      <c r="Z3" s="189" t="b">
        <f t="shared" ref="Z3:Z20" si="3">Y3=M3</f>
        <v>1</v>
      </c>
      <c r="AA3" s="189" t="b">
        <f t="shared" ref="AA3:AA20" si="4">J3=K3+L3</f>
        <v>1</v>
      </c>
    </row>
    <row r="4" spans="1:28" ht="51" customHeight="1" x14ac:dyDescent="0.2">
      <c r="A4" s="179" t="s">
        <v>44</v>
      </c>
      <c r="B4" s="180" t="s">
        <v>54</v>
      </c>
      <c r="C4" s="181" t="s">
        <v>57</v>
      </c>
      <c r="D4" s="180" t="s">
        <v>58</v>
      </c>
      <c r="E4" s="182" t="s">
        <v>246</v>
      </c>
      <c r="F4" s="180" t="s">
        <v>67</v>
      </c>
      <c r="G4" s="179" t="s">
        <v>70</v>
      </c>
      <c r="H4" s="183">
        <v>1.988</v>
      </c>
      <c r="I4" s="180" t="s">
        <v>247</v>
      </c>
      <c r="J4" s="190">
        <v>12032278</v>
      </c>
      <c r="K4" s="185">
        <f t="shared" ref="K4" si="5">ROUNDDOWN(J4*M4,0)</f>
        <v>7219366</v>
      </c>
      <c r="L4" s="186">
        <f t="shared" si="0"/>
        <v>4812912</v>
      </c>
      <c r="M4" s="191">
        <v>0.6</v>
      </c>
      <c r="N4" s="185">
        <v>0</v>
      </c>
      <c r="O4" s="185">
        <v>6280243</v>
      </c>
      <c r="P4" s="186">
        <v>939123</v>
      </c>
      <c r="Q4" s="186"/>
      <c r="R4" s="186"/>
      <c r="S4" s="186"/>
      <c r="T4" s="186"/>
      <c r="U4" s="186"/>
      <c r="V4" s="186"/>
      <c r="W4" s="186"/>
      <c r="X4" s="173" t="b">
        <f t="shared" si="1"/>
        <v>1</v>
      </c>
      <c r="Y4" s="188">
        <f t="shared" si="2"/>
        <v>0.6</v>
      </c>
      <c r="Z4" s="189" t="b">
        <f t="shared" si="3"/>
        <v>1</v>
      </c>
      <c r="AA4" s="189" t="b">
        <f t="shared" si="4"/>
        <v>1</v>
      </c>
    </row>
    <row r="5" spans="1:28" s="267" customFormat="1" ht="59.25" customHeight="1" x14ac:dyDescent="0.2">
      <c r="A5" s="179" t="s">
        <v>45</v>
      </c>
      <c r="B5" s="180" t="s">
        <v>241</v>
      </c>
      <c r="C5" s="179" t="s">
        <v>57</v>
      </c>
      <c r="D5" s="180" t="s">
        <v>61</v>
      </c>
      <c r="E5" s="182" t="s">
        <v>248</v>
      </c>
      <c r="F5" s="179" t="s">
        <v>242</v>
      </c>
      <c r="G5" s="179" t="s">
        <v>71</v>
      </c>
      <c r="H5" s="192">
        <v>0.79</v>
      </c>
      <c r="I5" s="193" t="s">
        <v>249</v>
      </c>
      <c r="J5" s="190">
        <v>11815381</v>
      </c>
      <c r="K5" s="190">
        <v>9452305</v>
      </c>
      <c r="L5" s="190">
        <f t="shared" si="0"/>
        <v>2363076</v>
      </c>
      <c r="M5" s="187">
        <v>0.8</v>
      </c>
      <c r="N5" s="185">
        <v>922336</v>
      </c>
      <c r="O5" s="194">
        <v>8529969</v>
      </c>
      <c r="P5" s="186"/>
      <c r="Q5" s="186"/>
      <c r="R5" s="186"/>
      <c r="S5" s="186"/>
      <c r="T5" s="186"/>
      <c r="U5" s="186"/>
      <c r="V5" s="186"/>
      <c r="W5" s="186"/>
      <c r="X5" s="173" t="b">
        <f t="shared" si="1"/>
        <v>1</v>
      </c>
      <c r="Y5" s="188">
        <f t="shared" si="2"/>
        <v>0.8</v>
      </c>
      <c r="Z5" s="189" t="b">
        <f t="shared" si="3"/>
        <v>1</v>
      </c>
      <c r="AA5" s="189" t="b">
        <f t="shared" si="4"/>
        <v>1</v>
      </c>
      <c r="AB5" s="226"/>
    </row>
    <row r="6" spans="1:28" ht="44.25" customHeight="1" x14ac:dyDescent="0.2">
      <c r="A6" s="179" t="s">
        <v>46</v>
      </c>
      <c r="B6" s="180" t="s">
        <v>191</v>
      </c>
      <c r="C6" s="180" t="s">
        <v>57</v>
      </c>
      <c r="D6" s="180" t="s">
        <v>65</v>
      </c>
      <c r="E6" s="195" t="s">
        <v>250</v>
      </c>
      <c r="F6" s="180" t="s">
        <v>192</v>
      </c>
      <c r="G6" s="180" t="s">
        <v>70</v>
      </c>
      <c r="H6" s="183">
        <v>3.6080000000000001</v>
      </c>
      <c r="I6" s="180" t="s">
        <v>194</v>
      </c>
      <c r="J6" s="190">
        <v>4003373</v>
      </c>
      <c r="K6" s="190">
        <f>ROUNDDOWN(J6*M6,0)</f>
        <v>2402023</v>
      </c>
      <c r="L6" s="190">
        <f t="shared" si="0"/>
        <v>1601350</v>
      </c>
      <c r="M6" s="187">
        <v>0.6</v>
      </c>
      <c r="N6" s="185">
        <v>0</v>
      </c>
      <c r="O6" s="185">
        <v>0</v>
      </c>
      <c r="P6" s="196">
        <v>417694</v>
      </c>
      <c r="Q6" s="196">
        <v>1984329</v>
      </c>
      <c r="R6" s="186"/>
      <c r="S6" s="186"/>
      <c r="T6" s="186"/>
      <c r="U6" s="186"/>
      <c r="V6" s="186"/>
      <c r="W6" s="186"/>
      <c r="X6" s="173" t="b">
        <f t="shared" si="1"/>
        <v>1</v>
      </c>
      <c r="Y6" s="188">
        <f t="shared" si="2"/>
        <v>0.6</v>
      </c>
      <c r="Z6" s="189" t="b">
        <f t="shared" si="3"/>
        <v>1</v>
      </c>
      <c r="AA6" s="189" t="b">
        <f t="shared" si="4"/>
        <v>1</v>
      </c>
    </row>
    <row r="7" spans="1:28" ht="43.5" customHeight="1" x14ac:dyDescent="0.2">
      <c r="A7" s="179" t="s">
        <v>47</v>
      </c>
      <c r="B7" s="180" t="s">
        <v>179</v>
      </c>
      <c r="C7" s="180" t="s">
        <v>57</v>
      </c>
      <c r="D7" s="180" t="s">
        <v>124</v>
      </c>
      <c r="E7" s="195" t="s">
        <v>251</v>
      </c>
      <c r="F7" s="197" t="s">
        <v>180</v>
      </c>
      <c r="G7" s="180" t="s">
        <v>69</v>
      </c>
      <c r="H7" s="183">
        <v>3.8690000000000002</v>
      </c>
      <c r="I7" s="180" t="s">
        <v>181</v>
      </c>
      <c r="J7" s="198">
        <v>15154312</v>
      </c>
      <c r="K7" s="190">
        <f>ROUNDDOWN(J7*M7,0)</f>
        <v>10608018</v>
      </c>
      <c r="L7" s="190">
        <f t="shared" si="0"/>
        <v>4546294</v>
      </c>
      <c r="M7" s="187">
        <v>0.7</v>
      </c>
      <c r="N7" s="185">
        <v>0</v>
      </c>
      <c r="O7" s="185">
        <v>0</v>
      </c>
      <c r="P7" s="186">
        <v>5112726</v>
      </c>
      <c r="Q7" s="186">
        <v>5495292</v>
      </c>
      <c r="R7" s="186"/>
      <c r="S7" s="186"/>
      <c r="T7" s="186"/>
      <c r="U7" s="186"/>
      <c r="V7" s="186"/>
      <c r="W7" s="186"/>
      <c r="X7" s="173" t="b">
        <f t="shared" si="1"/>
        <v>1</v>
      </c>
      <c r="Y7" s="188">
        <f t="shared" si="2"/>
        <v>0.7</v>
      </c>
      <c r="Z7" s="189" t="b">
        <f t="shared" si="3"/>
        <v>1</v>
      </c>
      <c r="AA7" s="189" t="b">
        <f t="shared" si="4"/>
        <v>1</v>
      </c>
    </row>
    <row r="8" spans="1:28" ht="43.5" customHeight="1" x14ac:dyDescent="0.2">
      <c r="A8" s="179" t="s">
        <v>48</v>
      </c>
      <c r="B8" s="180" t="s">
        <v>189</v>
      </c>
      <c r="C8" s="180" t="s">
        <v>57</v>
      </c>
      <c r="D8" s="180" t="s">
        <v>65</v>
      </c>
      <c r="E8" s="195" t="s">
        <v>250</v>
      </c>
      <c r="F8" s="180" t="s">
        <v>190</v>
      </c>
      <c r="G8" s="180" t="s">
        <v>70</v>
      </c>
      <c r="H8" s="183">
        <v>2.9380000000000002</v>
      </c>
      <c r="I8" s="180" t="s">
        <v>194</v>
      </c>
      <c r="J8" s="190">
        <v>5562475</v>
      </c>
      <c r="K8" s="190">
        <f>ROUNDDOWN(J8*M8,0)</f>
        <v>3337485</v>
      </c>
      <c r="L8" s="190">
        <f t="shared" si="0"/>
        <v>2224990</v>
      </c>
      <c r="M8" s="187">
        <v>0.6</v>
      </c>
      <c r="N8" s="185">
        <v>0</v>
      </c>
      <c r="O8" s="185">
        <v>0</v>
      </c>
      <c r="P8" s="196">
        <v>484647</v>
      </c>
      <c r="Q8" s="196">
        <v>2852838</v>
      </c>
      <c r="R8" s="186"/>
      <c r="S8" s="186"/>
      <c r="T8" s="186"/>
      <c r="U8" s="186"/>
      <c r="V8" s="186"/>
      <c r="W8" s="186"/>
      <c r="X8" s="173" t="b">
        <f t="shared" si="1"/>
        <v>1</v>
      </c>
      <c r="Y8" s="188">
        <f t="shared" si="2"/>
        <v>0.6</v>
      </c>
      <c r="Z8" s="189" t="b">
        <f t="shared" si="3"/>
        <v>1</v>
      </c>
      <c r="AA8" s="189" t="b">
        <f t="shared" si="4"/>
        <v>1</v>
      </c>
    </row>
    <row r="9" spans="1:28" ht="44.25" customHeight="1" x14ac:dyDescent="0.2">
      <c r="A9" s="179" t="s">
        <v>49</v>
      </c>
      <c r="B9" s="180" t="s">
        <v>182</v>
      </c>
      <c r="C9" s="180" t="s">
        <v>57</v>
      </c>
      <c r="D9" s="180" t="s">
        <v>58</v>
      </c>
      <c r="E9" s="195" t="s">
        <v>246</v>
      </c>
      <c r="F9" s="180" t="s">
        <v>183</v>
      </c>
      <c r="G9" s="180" t="s">
        <v>70</v>
      </c>
      <c r="H9" s="183">
        <v>4.7510000000000003</v>
      </c>
      <c r="I9" s="180" t="s">
        <v>252</v>
      </c>
      <c r="J9" s="190">
        <v>9029972</v>
      </c>
      <c r="K9" s="190">
        <v>4966692</v>
      </c>
      <c r="L9" s="190">
        <f t="shared" si="0"/>
        <v>4063280</v>
      </c>
      <c r="M9" s="187">
        <v>0.6</v>
      </c>
      <c r="N9" s="185">
        <v>0</v>
      </c>
      <c r="O9" s="185">
        <v>0</v>
      </c>
      <c r="P9" s="196">
        <v>444000</v>
      </c>
      <c r="Q9" s="196">
        <v>4522692</v>
      </c>
      <c r="R9" s="186"/>
      <c r="S9" s="186"/>
      <c r="T9" s="186"/>
      <c r="U9" s="186"/>
      <c r="V9" s="186"/>
      <c r="W9" s="186"/>
      <c r="X9" s="173" t="b">
        <f t="shared" si="1"/>
        <v>1</v>
      </c>
      <c r="Y9" s="188">
        <f t="shared" si="2"/>
        <v>0.55000000000000004</v>
      </c>
      <c r="Z9" s="189" t="b">
        <f t="shared" si="3"/>
        <v>0</v>
      </c>
      <c r="AA9" s="189" t="b">
        <f t="shared" si="4"/>
        <v>1</v>
      </c>
    </row>
    <row r="10" spans="1:28" ht="44.25" customHeight="1" x14ac:dyDescent="0.2">
      <c r="A10" s="179" t="s">
        <v>287</v>
      </c>
      <c r="B10" s="180" t="s">
        <v>184</v>
      </c>
      <c r="C10" s="180" t="s">
        <v>57</v>
      </c>
      <c r="D10" s="180" t="s">
        <v>61</v>
      </c>
      <c r="E10" s="195" t="s">
        <v>248</v>
      </c>
      <c r="F10" s="180" t="s">
        <v>185</v>
      </c>
      <c r="G10" s="180" t="s">
        <v>70</v>
      </c>
      <c r="H10" s="183">
        <v>6.0289999999999999</v>
      </c>
      <c r="I10" s="180" t="s">
        <v>186</v>
      </c>
      <c r="J10" s="190">
        <v>10429799</v>
      </c>
      <c r="K10" s="190">
        <v>4764713</v>
      </c>
      <c r="L10" s="190">
        <f t="shared" si="0"/>
        <v>5665086</v>
      </c>
      <c r="M10" s="187">
        <v>0.7</v>
      </c>
      <c r="N10" s="185">
        <v>0</v>
      </c>
      <c r="O10" s="185">
        <v>0</v>
      </c>
      <c r="P10" s="196">
        <v>2229907</v>
      </c>
      <c r="Q10" s="196">
        <v>1311438</v>
      </c>
      <c r="R10" s="196">
        <v>1223368</v>
      </c>
      <c r="S10" s="186"/>
      <c r="T10" s="186"/>
      <c r="U10" s="186"/>
      <c r="V10" s="186"/>
      <c r="W10" s="186"/>
      <c r="X10" s="173" t="b">
        <f t="shared" si="1"/>
        <v>1</v>
      </c>
      <c r="Y10" s="188">
        <f t="shared" si="2"/>
        <v>0.45679999999999998</v>
      </c>
      <c r="Z10" s="189" t="b">
        <f t="shared" si="3"/>
        <v>0</v>
      </c>
      <c r="AA10" s="189" t="b">
        <f t="shared" si="4"/>
        <v>1</v>
      </c>
    </row>
    <row r="11" spans="1:28" ht="40.5" customHeight="1" x14ac:dyDescent="0.2">
      <c r="A11" s="179" t="s">
        <v>520</v>
      </c>
      <c r="B11" s="180" t="s">
        <v>187</v>
      </c>
      <c r="C11" s="180" t="s">
        <v>57</v>
      </c>
      <c r="D11" s="180" t="s">
        <v>63</v>
      </c>
      <c r="E11" s="195" t="s">
        <v>255</v>
      </c>
      <c r="F11" s="180" t="s">
        <v>188</v>
      </c>
      <c r="G11" s="180" t="s">
        <v>70</v>
      </c>
      <c r="H11" s="183">
        <v>1.458</v>
      </c>
      <c r="I11" s="180" t="s">
        <v>256</v>
      </c>
      <c r="J11" s="190">
        <v>1768476</v>
      </c>
      <c r="K11" s="190">
        <v>792232</v>
      </c>
      <c r="L11" s="190">
        <f t="shared" si="0"/>
        <v>976244</v>
      </c>
      <c r="M11" s="187">
        <v>0.5</v>
      </c>
      <c r="N11" s="185">
        <v>0</v>
      </c>
      <c r="O11" s="185">
        <v>0</v>
      </c>
      <c r="P11" s="186">
        <v>792232</v>
      </c>
      <c r="Q11" s="186">
        <v>0</v>
      </c>
      <c r="R11" s="186"/>
      <c r="S11" s="186"/>
      <c r="T11" s="186"/>
      <c r="U11" s="186"/>
      <c r="V11" s="186"/>
      <c r="W11" s="186"/>
      <c r="X11" s="173" t="b">
        <f t="shared" si="1"/>
        <v>1</v>
      </c>
      <c r="Y11" s="188">
        <f t="shared" si="2"/>
        <v>0.44800000000000001</v>
      </c>
      <c r="Z11" s="189" t="b">
        <f t="shared" si="3"/>
        <v>0</v>
      </c>
      <c r="AA11" s="189" t="b">
        <f t="shared" si="4"/>
        <v>1</v>
      </c>
    </row>
    <row r="12" spans="1:28" ht="62.25" customHeight="1" x14ac:dyDescent="0.2">
      <c r="A12" s="199" t="s">
        <v>51</v>
      </c>
      <c r="B12" s="180" t="s">
        <v>275</v>
      </c>
      <c r="C12" s="180" t="s">
        <v>73</v>
      </c>
      <c r="D12" s="180" t="s">
        <v>66</v>
      </c>
      <c r="E12" s="195" t="s">
        <v>253</v>
      </c>
      <c r="F12" s="180" t="s">
        <v>257</v>
      </c>
      <c r="G12" s="180" t="s">
        <v>69</v>
      </c>
      <c r="H12" s="183">
        <v>0.95799999999999996</v>
      </c>
      <c r="I12" s="180" t="s">
        <v>258</v>
      </c>
      <c r="J12" s="190">
        <v>11750000</v>
      </c>
      <c r="K12" s="190">
        <f t="shared" ref="K12:K19" si="6">ROUNDDOWN(J12*M12,0)</f>
        <v>8225000</v>
      </c>
      <c r="L12" s="190">
        <f t="shared" si="0"/>
        <v>3525000</v>
      </c>
      <c r="M12" s="187">
        <v>0.7</v>
      </c>
      <c r="N12" s="185">
        <v>0</v>
      </c>
      <c r="O12" s="185">
        <v>0</v>
      </c>
      <c r="P12" s="186">
        <v>0</v>
      </c>
      <c r="Q12" s="186">
        <f>K12</f>
        <v>8225000</v>
      </c>
      <c r="R12" s="186"/>
      <c r="S12" s="186"/>
      <c r="T12" s="186"/>
      <c r="U12" s="186"/>
      <c r="V12" s="186"/>
      <c r="W12" s="186"/>
      <c r="X12" s="173" t="b">
        <f t="shared" si="1"/>
        <v>1</v>
      </c>
      <c r="Y12" s="188">
        <f t="shared" si="2"/>
        <v>0.7</v>
      </c>
      <c r="Z12" s="189" t="b">
        <f t="shared" si="3"/>
        <v>1</v>
      </c>
      <c r="AA12" s="189" t="b">
        <f t="shared" si="4"/>
        <v>1</v>
      </c>
    </row>
    <row r="13" spans="1:28" ht="48" customHeight="1" x14ac:dyDescent="0.2">
      <c r="A13" s="199">
        <v>11</v>
      </c>
      <c r="B13" s="180" t="s">
        <v>276</v>
      </c>
      <c r="C13" s="180" t="s">
        <v>73</v>
      </c>
      <c r="D13" s="180" t="s">
        <v>65</v>
      </c>
      <c r="E13" s="195" t="s">
        <v>250</v>
      </c>
      <c r="F13" s="180" t="s">
        <v>259</v>
      </c>
      <c r="G13" s="180" t="s">
        <v>69</v>
      </c>
      <c r="H13" s="183">
        <v>0.78200000000000003</v>
      </c>
      <c r="I13" s="180" t="s">
        <v>260</v>
      </c>
      <c r="J13" s="190">
        <v>10584772</v>
      </c>
      <c r="K13" s="190">
        <f t="shared" si="6"/>
        <v>5292386</v>
      </c>
      <c r="L13" s="190">
        <f t="shared" si="0"/>
        <v>5292386</v>
      </c>
      <c r="M13" s="187">
        <v>0.5</v>
      </c>
      <c r="N13" s="185">
        <v>0</v>
      </c>
      <c r="O13" s="185">
        <v>0</v>
      </c>
      <c r="P13" s="186">
        <v>0</v>
      </c>
      <c r="Q13" s="186">
        <v>199675</v>
      </c>
      <c r="R13" s="186">
        <v>5092711</v>
      </c>
      <c r="S13" s="186"/>
      <c r="T13" s="186"/>
      <c r="U13" s="186"/>
      <c r="V13" s="186"/>
      <c r="W13" s="186"/>
      <c r="X13" s="173" t="b">
        <f t="shared" si="1"/>
        <v>1</v>
      </c>
      <c r="Y13" s="188">
        <f t="shared" si="2"/>
        <v>0.5</v>
      </c>
      <c r="Z13" s="189" t="b">
        <f t="shared" si="3"/>
        <v>1</v>
      </c>
      <c r="AA13" s="189" t="b">
        <f t="shared" si="4"/>
        <v>1</v>
      </c>
    </row>
    <row r="14" spans="1:28" ht="34.5" customHeight="1" x14ac:dyDescent="0.2">
      <c r="A14" s="199">
        <v>12</v>
      </c>
      <c r="B14" s="180" t="s">
        <v>277</v>
      </c>
      <c r="C14" s="180" t="s">
        <v>73</v>
      </c>
      <c r="D14" s="180" t="s">
        <v>124</v>
      </c>
      <c r="E14" s="195" t="s">
        <v>251</v>
      </c>
      <c r="F14" s="180" t="s">
        <v>261</v>
      </c>
      <c r="G14" s="180" t="s">
        <v>69</v>
      </c>
      <c r="H14" s="183">
        <v>0.86599999999999999</v>
      </c>
      <c r="I14" s="180" t="s">
        <v>262</v>
      </c>
      <c r="J14" s="190">
        <v>2344915</v>
      </c>
      <c r="K14" s="190">
        <f t="shared" si="6"/>
        <v>1406949</v>
      </c>
      <c r="L14" s="190">
        <f t="shared" si="0"/>
        <v>937966</v>
      </c>
      <c r="M14" s="187">
        <v>0.6</v>
      </c>
      <c r="N14" s="185">
        <v>0</v>
      </c>
      <c r="O14" s="185">
        <v>0</v>
      </c>
      <c r="P14" s="186">
        <v>0</v>
      </c>
      <c r="Q14" s="186">
        <v>53136</v>
      </c>
      <c r="R14" s="186">
        <v>1353813</v>
      </c>
      <c r="S14" s="186"/>
      <c r="T14" s="186"/>
      <c r="U14" s="186"/>
      <c r="V14" s="186"/>
      <c r="W14" s="186"/>
      <c r="X14" s="173" t="b">
        <f t="shared" si="1"/>
        <v>1</v>
      </c>
      <c r="Y14" s="188">
        <f t="shared" si="2"/>
        <v>0.6</v>
      </c>
      <c r="Z14" s="189" t="b">
        <f t="shared" si="3"/>
        <v>1</v>
      </c>
      <c r="AA14" s="189" t="b">
        <f t="shared" si="4"/>
        <v>1</v>
      </c>
    </row>
    <row r="15" spans="1:28" ht="35.25" customHeight="1" x14ac:dyDescent="0.2">
      <c r="A15" s="199">
        <v>13</v>
      </c>
      <c r="B15" s="180" t="s">
        <v>278</v>
      </c>
      <c r="C15" s="180" t="s">
        <v>73</v>
      </c>
      <c r="D15" s="180" t="s">
        <v>59</v>
      </c>
      <c r="E15" s="195" t="s">
        <v>254</v>
      </c>
      <c r="F15" s="180" t="s">
        <v>263</v>
      </c>
      <c r="G15" s="180" t="s">
        <v>70</v>
      </c>
      <c r="H15" s="183">
        <v>0.29299999999999998</v>
      </c>
      <c r="I15" s="180" t="s">
        <v>264</v>
      </c>
      <c r="J15" s="190">
        <v>5923711</v>
      </c>
      <c r="K15" s="190">
        <f t="shared" si="6"/>
        <v>2961855</v>
      </c>
      <c r="L15" s="190">
        <f t="shared" si="0"/>
        <v>2961856</v>
      </c>
      <c r="M15" s="187">
        <v>0.5</v>
      </c>
      <c r="N15" s="185">
        <v>0</v>
      </c>
      <c r="O15" s="185">
        <v>0</v>
      </c>
      <c r="P15" s="186">
        <v>0</v>
      </c>
      <c r="Q15" s="186">
        <v>1100000</v>
      </c>
      <c r="R15" s="186">
        <v>1861855</v>
      </c>
      <c r="S15" s="186"/>
      <c r="T15" s="186"/>
      <c r="U15" s="186"/>
      <c r="V15" s="186"/>
      <c r="W15" s="186"/>
      <c r="X15" s="173" t="b">
        <f t="shared" si="1"/>
        <v>1</v>
      </c>
      <c r="Y15" s="188">
        <f t="shared" si="2"/>
        <v>0.5</v>
      </c>
      <c r="Z15" s="189" t="b">
        <f t="shared" si="3"/>
        <v>1</v>
      </c>
      <c r="AA15" s="189" t="b">
        <f t="shared" si="4"/>
        <v>1</v>
      </c>
    </row>
    <row r="16" spans="1:28" ht="35.25" customHeight="1" x14ac:dyDescent="0.2">
      <c r="A16" s="200">
        <v>14</v>
      </c>
      <c r="B16" s="201" t="s">
        <v>279</v>
      </c>
      <c r="C16" s="201" t="s">
        <v>56</v>
      </c>
      <c r="D16" s="201" t="s">
        <v>280</v>
      </c>
      <c r="E16" s="202" t="s">
        <v>265</v>
      </c>
      <c r="F16" s="201" t="s">
        <v>266</v>
      </c>
      <c r="G16" s="201" t="s">
        <v>70</v>
      </c>
      <c r="H16" s="203">
        <v>0.73599999999999999</v>
      </c>
      <c r="I16" s="201" t="s">
        <v>267</v>
      </c>
      <c r="J16" s="204">
        <v>3168175</v>
      </c>
      <c r="K16" s="204">
        <f t="shared" si="6"/>
        <v>1584087</v>
      </c>
      <c r="L16" s="204">
        <f t="shared" si="0"/>
        <v>1584088</v>
      </c>
      <c r="M16" s="205">
        <v>0.5</v>
      </c>
      <c r="N16" s="206">
        <v>0</v>
      </c>
      <c r="O16" s="206">
        <v>0</v>
      </c>
      <c r="P16" s="207">
        <v>0</v>
      </c>
      <c r="Q16" s="207">
        <f>K16</f>
        <v>1584087</v>
      </c>
      <c r="R16" s="207"/>
      <c r="S16" s="207"/>
      <c r="T16" s="207"/>
      <c r="U16" s="207"/>
      <c r="V16" s="207"/>
      <c r="W16" s="207"/>
      <c r="X16" s="173" t="b">
        <f t="shared" si="1"/>
        <v>1</v>
      </c>
      <c r="Y16" s="188">
        <f t="shared" si="2"/>
        <v>0.5</v>
      </c>
      <c r="Z16" s="189" t="b">
        <f t="shared" si="3"/>
        <v>1</v>
      </c>
      <c r="AA16" s="189" t="b">
        <f t="shared" si="4"/>
        <v>1</v>
      </c>
    </row>
    <row r="17" spans="1:27" ht="45.75" customHeight="1" x14ac:dyDescent="0.2">
      <c r="A17" s="200">
        <v>15</v>
      </c>
      <c r="B17" s="201" t="s">
        <v>281</v>
      </c>
      <c r="C17" s="201" t="s">
        <v>56</v>
      </c>
      <c r="D17" s="201" t="s">
        <v>58</v>
      </c>
      <c r="E17" s="202" t="s">
        <v>246</v>
      </c>
      <c r="F17" s="201" t="s">
        <v>268</v>
      </c>
      <c r="G17" s="201" t="s">
        <v>70</v>
      </c>
      <c r="H17" s="203">
        <v>2.919</v>
      </c>
      <c r="I17" s="201" t="s">
        <v>315</v>
      </c>
      <c r="J17" s="204">
        <v>8236958</v>
      </c>
      <c r="K17" s="208">
        <f t="shared" si="6"/>
        <v>4942174</v>
      </c>
      <c r="L17" s="204">
        <f t="shared" si="0"/>
        <v>3294784</v>
      </c>
      <c r="M17" s="205">
        <v>0.6</v>
      </c>
      <c r="N17" s="206">
        <v>0</v>
      </c>
      <c r="O17" s="206">
        <v>0</v>
      </c>
      <c r="P17" s="207">
        <v>0</v>
      </c>
      <c r="Q17" s="207">
        <f>K17</f>
        <v>4942174</v>
      </c>
      <c r="R17" s="207"/>
      <c r="S17" s="207"/>
      <c r="T17" s="207"/>
      <c r="U17" s="207"/>
      <c r="V17" s="207"/>
      <c r="W17" s="207"/>
      <c r="X17" s="173" t="b">
        <f t="shared" si="1"/>
        <v>1</v>
      </c>
      <c r="Y17" s="188">
        <f t="shared" si="2"/>
        <v>0.6</v>
      </c>
      <c r="Z17" s="189" t="b">
        <f t="shared" si="3"/>
        <v>1</v>
      </c>
      <c r="AA17" s="189" t="b">
        <f t="shared" si="4"/>
        <v>1</v>
      </c>
    </row>
    <row r="18" spans="1:27" ht="31.5" customHeight="1" x14ac:dyDescent="0.2">
      <c r="A18" s="200">
        <v>16</v>
      </c>
      <c r="B18" s="201" t="s">
        <v>282</v>
      </c>
      <c r="C18" s="201" t="s">
        <v>56</v>
      </c>
      <c r="D18" s="209" t="s">
        <v>61</v>
      </c>
      <c r="E18" s="210" t="s">
        <v>248</v>
      </c>
      <c r="F18" s="209" t="s">
        <v>269</v>
      </c>
      <c r="G18" s="209" t="s">
        <v>71</v>
      </c>
      <c r="H18" s="211">
        <v>3.9289999999999998</v>
      </c>
      <c r="I18" s="209" t="s">
        <v>270</v>
      </c>
      <c r="J18" s="204">
        <v>3430000</v>
      </c>
      <c r="K18" s="204">
        <f t="shared" si="6"/>
        <v>2401000</v>
      </c>
      <c r="L18" s="204">
        <f t="shared" si="0"/>
        <v>1029000</v>
      </c>
      <c r="M18" s="205">
        <v>0.7</v>
      </c>
      <c r="N18" s="206">
        <v>0</v>
      </c>
      <c r="O18" s="206">
        <v>0</v>
      </c>
      <c r="P18" s="207">
        <v>0</v>
      </c>
      <c r="Q18" s="207">
        <f>K18</f>
        <v>2401000</v>
      </c>
      <c r="R18" s="207"/>
      <c r="S18" s="207"/>
      <c r="T18" s="207"/>
      <c r="U18" s="207"/>
      <c r="V18" s="207"/>
      <c r="W18" s="207"/>
      <c r="X18" s="173" t="b">
        <f t="shared" si="1"/>
        <v>1</v>
      </c>
      <c r="Y18" s="188">
        <f t="shared" si="2"/>
        <v>0.7</v>
      </c>
      <c r="Z18" s="189" t="b">
        <f t="shared" si="3"/>
        <v>1</v>
      </c>
      <c r="AA18" s="189" t="b">
        <f t="shared" si="4"/>
        <v>1</v>
      </c>
    </row>
    <row r="19" spans="1:27" ht="36.75" customHeight="1" x14ac:dyDescent="0.2">
      <c r="A19" s="200">
        <v>17</v>
      </c>
      <c r="B19" s="201" t="s">
        <v>283</v>
      </c>
      <c r="C19" s="201" t="s">
        <v>56</v>
      </c>
      <c r="D19" s="201" t="s">
        <v>63</v>
      </c>
      <c r="E19" s="202" t="s">
        <v>255</v>
      </c>
      <c r="F19" s="201" t="s">
        <v>271</v>
      </c>
      <c r="G19" s="201" t="s">
        <v>70</v>
      </c>
      <c r="H19" s="203">
        <v>0.99</v>
      </c>
      <c r="I19" s="201" t="s">
        <v>267</v>
      </c>
      <c r="J19" s="204">
        <v>1017759</v>
      </c>
      <c r="K19" s="204">
        <f t="shared" si="6"/>
        <v>508879</v>
      </c>
      <c r="L19" s="204">
        <f t="shared" si="0"/>
        <v>508880</v>
      </c>
      <c r="M19" s="205">
        <v>0.5</v>
      </c>
      <c r="N19" s="206">
        <v>0</v>
      </c>
      <c r="O19" s="206">
        <v>0</v>
      </c>
      <c r="P19" s="207">
        <v>0</v>
      </c>
      <c r="Q19" s="207">
        <f t="shared" ref="Q19" si="7">K19</f>
        <v>508879</v>
      </c>
      <c r="R19" s="207"/>
      <c r="S19" s="207"/>
      <c r="T19" s="207"/>
      <c r="U19" s="207"/>
      <c r="V19" s="207"/>
      <c r="W19" s="207"/>
      <c r="X19" s="173" t="b">
        <f t="shared" si="1"/>
        <v>1</v>
      </c>
      <c r="Y19" s="188">
        <f t="shared" si="2"/>
        <v>0.5</v>
      </c>
      <c r="Z19" s="189" t="b">
        <f t="shared" si="3"/>
        <v>1</v>
      </c>
      <c r="AA19" s="189" t="b">
        <f t="shared" si="4"/>
        <v>1</v>
      </c>
    </row>
    <row r="20" spans="1:27" ht="60.75" customHeight="1" x14ac:dyDescent="0.2">
      <c r="A20" s="199" t="s">
        <v>516</v>
      </c>
      <c r="B20" s="180" t="s">
        <v>285</v>
      </c>
      <c r="C20" s="180" t="s">
        <v>73</v>
      </c>
      <c r="D20" s="180" t="s">
        <v>64</v>
      </c>
      <c r="E20" s="195" t="s">
        <v>272</v>
      </c>
      <c r="F20" s="180" t="s">
        <v>273</v>
      </c>
      <c r="G20" s="180" t="s">
        <v>69</v>
      </c>
      <c r="H20" s="183">
        <v>0.35199999999999998</v>
      </c>
      <c r="I20" s="180" t="s">
        <v>274</v>
      </c>
      <c r="J20" s="190">
        <v>6891100</v>
      </c>
      <c r="K20" s="190">
        <v>5351466</v>
      </c>
      <c r="L20" s="190">
        <f t="shared" si="0"/>
        <v>1539634</v>
      </c>
      <c r="M20" s="187">
        <v>0.8</v>
      </c>
      <c r="N20" s="185">
        <v>0</v>
      </c>
      <c r="O20" s="185">
        <v>0</v>
      </c>
      <c r="P20" s="186">
        <v>0</v>
      </c>
      <c r="Q20" s="186">
        <v>3751466</v>
      </c>
      <c r="R20" s="186">
        <v>1600000</v>
      </c>
      <c r="S20" s="186"/>
      <c r="T20" s="186"/>
      <c r="U20" s="186"/>
      <c r="V20" s="186"/>
      <c r="W20" s="186"/>
      <c r="X20" s="173" t="b">
        <f t="shared" si="1"/>
        <v>1</v>
      </c>
      <c r="Y20" s="188">
        <f t="shared" si="2"/>
        <v>0.77659999999999996</v>
      </c>
      <c r="Z20" s="189" t="b">
        <f t="shared" si="3"/>
        <v>0</v>
      </c>
      <c r="AA20" s="189" t="b">
        <f t="shared" si="4"/>
        <v>1</v>
      </c>
    </row>
    <row r="21" spans="1:27" ht="30" customHeight="1" x14ac:dyDescent="0.2">
      <c r="A21" s="212" t="s">
        <v>42</v>
      </c>
      <c r="B21" s="212"/>
      <c r="C21" s="212"/>
      <c r="D21" s="212"/>
      <c r="E21" s="212"/>
      <c r="F21" s="212"/>
      <c r="G21" s="212"/>
      <c r="H21" s="213">
        <f>SUM(H3:H20)</f>
        <v>40.92199999999999</v>
      </c>
      <c r="I21" s="214" t="s">
        <v>13</v>
      </c>
      <c r="J21" s="215">
        <f>SUM(J3:J20)</f>
        <v>151341824</v>
      </c>
      <c r="K21" s="215">
        <f>SUM(K3:K20)</f>
        <v>90315814</v>
      </c>
      <c r="L21" s="215">
        <f>SUM(L3:L20)</f>
        <v>61026010</v>
      </c>
      <c r="M21" s="216" t="s">
        <v>13</v>
      </c>
      <c r="N21" s="217">
        <f t="shared" ref="N21:W21" si="8">SUM(N3:N20)</f>
        <v>922336</v>
      </c>
      <c r="O21" s="217">
        <f t="shared" si="8"/>
        <v>20004024</v>
      </c>
      <c r="P21" s="218">
        <f t="shared" si="8"/>
        <v>17302993</v>
      </c>
      <c r="Q21" s="218">
        <f t="shared" si="8"/>
        <v>40954714</v>
      </c>
      <c r="R21" s="218">
        <f t="shared" si="8"/>
        <v>11131747</v>
      </c>
      <c r="S21" s="218">
        <f t="shared" si="8"/>
        <v>0</v>
      </c>
      <c r="T21" s="218">
        <f t="shared" si="8"/>
        <v>0</v>
      </c>
      <c r="U21" s="218">
        <f t="shared" si="8"/>
        <v>0</v>
      </c>
      <c r="V21" s="218">
        <f t="shared" si="8"/>
        <v>0</v>
      </c>
      <c r="W21" s="218">
        <f t="shared" si="8"/>
        <v>0</v>
      </c>
      <c r="X21" s="173" t="b">
        <f>K21=SUM(N21:W21)</f>
        <v>1</v>
      </c>
      <c r="Y21" s="188"/>
      <c r="Z21" s="189"/>
      <c r="AA21" s="189" t="b">
        <f>J21=K21+L21</f>
        <v>1</v>
      </c>
    </row>
    <row r="22" spans="1:27" ht="20.100000000000001" customHeight="1" x14ac:dyDescent="0.2">
      <c r="A22" s="219" t="s">
        <v>35</v>
      </c>
      <c r="B22" s="219"/>
      <c r="C22" s="219"/>
      <c r="D22" s="219"/>
      <c r="E22" s="219"/>
      <c r="F22" s="219"/>
      <c r="G22" s="219"/>
      <c r="H22" s="220">
        <f>SUMIF($C$3:$C$20,"K",H3:H20)</f>
        <v>29.096999999999998</v>
      </c>
      <c r="I22" s="221" t="s">
        <v>13</v>
      </c>
      <c r="J22" s="222">
        <f>SUMIF($C$3:$C$20,"K",J3:J20)</f>
        <v>97994434</v>
      </c>
      <c r="K22" s="222">
        <f>SUMIF($C$3:$C$20,"K",K3:K20)</f>
        <v>57642018</v>
      </c>
      <c r="L22" s="222">
        <f>SUMIF($C$3:$C$20,"K",L3:L20)</f>
        <v>40352416</v>
      </c>
      <c r="M22" s="223" t="s">
        <v>13</v>
      </c>
      <c r="N22" s="224">
        <f t="shared" ref="N22:W22" si="9">SUMIF($C$3:$C$20,"K",N3:N20)</f>
        <v>922336</v>
      </c>
      <c r="O22" s="224">
        <f t="shared" si="9"/>
        <v>20004024</v>
      </c>
      <c r="P22" s="224">
        <f t="shared" si="9"/>
        <v>17302993</v>
      </c>
      <c r="Q22" s="224">
        <f t="shared" si="9"/>
        <v>18189297</v>
      </c>
      <c r="R22" s="224">
        <f t="shared" si="9"/>
        <v>1223368</v>
      </c>
      <c r="S22" s="224">
        <f t="shared" si="9"/>
        <v>0</v>
      </c>
      <c r="T22" s="224">
        <f t="shared" si="9"/>
        <v>0</v>
      </c>
      <c r="U22" s="224">
        <f t="shared" si="9"/>
        <v>0</v>
      </c>
      <c r="V22" s="224">
        <f t="shared" si="9"/>
        <v>0</v>
      </c>
      <c r="W22" s="224">
        <f t="shared" si="9"/>
        <v>0</v>
      </c>
      <c r="X22" s="173" t="b">
        <f>K22=SUM(N22:W22)</f>
        <v>1</v>
      </c>
      <c r="Y22" s="188"/>
      <c r="Z22" s="189"/>
      <c r="AA22" s="189" t="b">
        <f>J22=K22+L22</f>
        <v>1</v>
      </c>
    </row>
    <row r="23" spans="1:27" ht="20.100000000000001" customHeight="1" x14ac:dyDescent="0.2">
      <c r="A23" s="212" t="s">
        <v>36</v>
      </c>
      <c r="B23" s="212"/>
      <c r="C23" s="212"/>
      <c r="D23" s="212"/>
      <c r="E23" s="212"/>
      <c r="F23" s="212"/>
      <c r="G23" s="212"/>
      <c r="H23" s="213">
        <f>SUMIF($C$3:$C$20,"N",H3:H20)</f>
        <v>8.5739999999999998</v>
      </c>
      <c r="I23" s="214" t="s">
        <v>13</v>
      </c>
      <c r="J23" s="215">
        <f>SUMIF($C$3:$C$20,"N",J3:J20)</f>
        <v>15852892</v>
      </c>
      <c r="K23" s="215">
        <f>SUMIF($C$3:$C$20,"N",K3:K20)</f>
        <v>9436140</v>
      </c>
      <c r="L23" s="215">
        <f>SUMIF($C$3:$C$20,"N",L3:L20)</f>
        <v>6416752</v>
      </c>
      <c r="M23" s="216" t="s">
        <v>13</v>
      </c>
      <c r="N23" s="217">
        <f t="shared" ref="N23:W23" si="10">SUMIF($C$3:$C$20,"N",N3:N20)</f>
        <v>0</v>
      </c>
      <c r="O23" s="217">
        <f t="shared" si="10"/>
        <v>0</v>
      </c>
      <c r="P23" s="217">
        <f t="shared" si="10"/>
        <v>0</v>
      </c>
      <c r="Q23" s="217">
        <f t="shared" si="10"/>
        <v>9436140</v>
      </c>
      <c r="R23" s="217">
        <f t="shared" si="10"/>
        <v>0</v>
      </c>
      <c r="S23" s="217">
        <f t="shared" si="10"/>
        <v>0</v>
      </c>
      <c r="T23" s="217">
        <f t="shared" si="10"/>
        <v>0</v>
      </c>
      <c r="U23" s="217">
        <f t="shared" si="10"/>
        <v>0</v>
      </c>
      <c r="V23" s="217">
        <f t="shared" si="10"/>
        <v>0</v>
      </c>
      <c r="W23" s="217">
        <f t="shared" si="10"/>
        <v>0</v>
      </c>
      <c r="X23" s="173" t="b">
        <f>K23=SUM(N23:W23)</f>
        <v>1</v>
      </c>
      <c r="Y23" s="188"/>
      <c r="Z23" s="189"/>
      <c r="AA23" s="189" t="b">
        <f>J23=K23+L23</f>
        <v>1</v>
      </c>
    </row>
    <row r="24" spans="1:27" ht="20.100000000000001" customHeight="1" x14ac:dyDescent="0.2">
      <c r="A24" s="219" t="s">
        <v>37</v>
      </c>
      <c r="B24" s="219"/>
      <c r="C24" s="219"/>
      <c r="D24" s="219"/>
      <c r="E24" s="219"/>
      <c r="F24" s="219"/>
      <c r="G24" s="219"/>
      <c r="H24" s="220">
        <f>SUMIF($C$3:$C$20,"W",H3:H20)</f>
        <v>3.2509999999999999</v>
      </c>
      <c r="I24" s="221" t="s">
        <v>13</v>
      </c>
      <c r="J24" s="222">
        <f>SUMIF($C$3:$C$20,"W",J3:J20)</f>
        <v>37494498</v>
      </c>
      <c r="K24" s="224">
        <f>SUMIF($C$3:$C$20,"W",K3:K20)</f>
        <v>23237656</v>
      </c>
      <c r="L24" s="224">
        <f>SUMIF($C$3:$C$20,"W",L3:L20)</f>
        <v>14256842</v>
      </c>
      <c r="M24" s="223" t="s">
        <v>13</v>
      </c>
      <c r="N24" s="224">
        <f t="shared" ref="N24:W24" si="11">SUMIF($C$3:$C$20,"W",N3:N20)</f>
        <v>0</v>
      </c>
      <c r="O24" s="224">
        <f t="shared" si="11"/>
        <v>0</v>
      </c>
      <c r="P24" s="224">
        <f t="shared" si="11"/>
        <v>0</v>
      </c>
      <c r="Q24" s="224">
        <f t="shared" si="11"/>
        <v>13329277</v>
      </c>
      <c r="R24" s="224">
        <f t="shared" si="11"/>
        <v>9908379</v>
      </c>
      <c r="S24" s="224">
        <f t="shared" si="11"/>
        <v>0</v>
      </c>
      <c r="T24" s="224">
        <f t="shared" si="11"/>
        <v>0</v>
      </c>
      <c r="U24" s="224">
        <f t="shared" si="11"/>
        <v>0</v>
      </c>
      <c r="V24" s="224">
        <f t="shared" si="11"/>
        <v>0</v>
      </c>
      <c r="W24" s="224">
        <f t="shared" si="11"/>
        <v>0</v>
      </c>
      <c r="X24" s="173" t="b">
        <f>K24=SUM(N24:W24)</f>
        <v>1</v>
      </c>
      <c r="Y24" s="188"/>
      <c r="Z24" s="189"/>
      <c r="AA24" s="189" t="b">
        <f>J24=K24+L24</f>
        <v>1</v>
      </c>
    </row>
    <row r="25" spans="1:27" ht="20.100000000000001" customHeight="1" x14ac:dyDescent="0.2">
      <c r="A25" s="278"/>
      <c r="B25" s="278"/>
      <c r="C25" s="278"/>
      <c r="D25" s="278"/>
      <c r="E25" s="278"/>
      <c r="F25" s="278"/>
      <c r="G25" s="278"/>
      <c r="X25" s="173"/>
      <c r="Y25" s="188"/>
      <c r="Z25" s="189"/>
      <c r="AA25" s="189"/>
    </row>
    <row r="26" spans="1:27" x14ac:dyDescent="0.2">
      <c r="A26" s="264" t="s">
        <v>22</v>
      </c>
      <c r="B26" s="264"/>
      <c r="C26" s="264"/>
      <c r="D26" s="264"/>
      <c r="E26" s="264"/>
      <c r="F26" s="264"/>
      <c r="G26" s="264"/>
      <c r="H26" s="225"/>
      <c r="I26" s="225"/>
      <c r="J26" s="279"/>
      <c r="K26" s="225"/>
      <c r="L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</row>
    <row r="27" spans="1:27" x14ac:dyDescent="0.2">
      <c r="A27" s="265" t="s">
        <v>23</v>
      </c>
      <c r="B27" s="265"/>
      <c r="C27" s="265"/>
      <c r="D27" s="265"/>
      <c r="E27" s="265"/>
      <c r="F27" s="265"/>
      <c r="G27" s="265"/>
      <c r="H27" s="225"/>
      <c r="I27" s="225"/>
      <c r="J27" s="280"/>
      <c r="K27" s="225"/>
      <c r="L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173"/>
      <c r="AA27" s="189"/>
    </row>
    <row r="28" spans="1:27" x14ac:dyDescent="0.2">
      <c r="A28" s="264" t="s">
        <v>40</v>
      </c>
      <c r="B28" s="278"/>
      <c r="C28" s="278"/>
      <c r="D28" s="278"/>
      <c r="E28" s="278"/>
      <c r="F28" s="278"/>
      <c r="G28" s="278"/>
      <c r="J28" s="281"/>
      <c r="X28" s="173"/>
    </row>
    <row r="29" spans="1:27" x14ac:dyDescent="0.2">
      <c r="A29" s="272" t="s">
        <v>26</v>
      </c>
      <c r="B29" s="272"/>
      <c r="C29" s="272"/>
      <c r="D29" s="272"/>
      <c r="E29" s="272"/>
      <c r="F29" s="272"/>
      <c r="G29" s="272"/>
      <c r="J29" s="281"/>
    </row>
  </sheetData>
  <sortState ref="A7:W24">
    <sortCondition descending="1" ref="W7:W24"/>
  </sortState>
  <mergeCells count="18">
    <mergeCell ref="D1:D2"/>
    <mergeCell ref="A24:G24"/>
    <mergeCell ref="A23:G23"/>
    <mergeCell ref="E1:E2"/>
    <mergeCell ref="A21:G21"/>
    <mergeCell ref="A1:A2"/>
    <mergeCell ref="B1:B2"/>
    <mergeCell ref="C1:C2"/>
    <mergeCell ref="F1:F2"/>
    <mergeCell ref="G1:G2"/>
    <mergeCell ref="A22:G22"/>
    <mergeCell ref="L1:L2"/>
    <mergeCell ref="M1:M2"/>
    <mergeCell ref="N1:W1"/>
    <mergeCell ref="H1:H2"/>
    <mergeCell ref="I1:I2"/>
    <mergeCell ref="J1:J2"/>
    <mergeCell ref="K1:K2"/>
  </mergeCells>
  <conditionalFormatting sqref="X3:AA24">
    <cfRule type="cellIs" dxfId="42" priority="20" operator="equal">
      <formula>FALSE</formula>
    </cfRule>
  </conditionalFormatting>
  <conditionalFormatting sqref="X3:Z24">
    <cfRule type="containsText" dxfId="41" priority="18" operator="containsText" text="fałsz">
      <formula>NOT(ISERROR(SEARCH("fałsz",X3)))</formula>
    </cfRule>
  </conditionalFormatting>
  <conditionalFormatting sqref="AA27">
    <cfRule type="cellIs" dxfId="40" priority="17" operator="equal">
      <formula>FALSE</formula>
    </cfRule>
  </conditionalFormatting>
  <conditionalFormatting sqref="AA27">
    <cfRule type="cellIs" dxfId="39" priority="16" operator="equal">
      <formula>FALSE</formula>
    </cfRule>
  </conditionalFormatting>
  <conditionalFormatting sqref="Y25:Z25">
    <cfRule type="cellIs" dxfId="38" priority="15" operator="equal">
      <formula>FALSE</formula>
    </cfRule>
  </conditionalFormatting>
  <conditionalFormatting sqref="X25">
    <cfRule type="cellIs" dxfId="37" priority="14" operator="equal">
      <formula>FALSE</formula>
    </cfRule>
  </conditionalFormatting>
  <conditionalFormatting sqref="X25:Z25">
    <cfRule type="containsText" dxfId="36" priority="13" operator="containsText" text="fałsz">
      <formula>NOT(ISERROR(SEARCH("fałsz",X25)))</formula>
    </cfRule>
  </conditionalFormatting>
  <conditionalFormatting sqref="AA25">
    <cfRule type="cellIs" dxfId="35" priority="12" operator="equal">
      <formula>FALSE</formula>
    </cfRule>
  </conditionalFormatting>
  <conditionalFormatting sqref="AA25">
    <cfRule type="cellIs" dxfId="34" priority="11" operator="equal">
      <formula>FALSE</formula>
    </cfRule>
  </conditionalFormatting>
  <dataValidations count="2">
    <dataValidation type="list" allowBlank="1" showInputMessage="1" showErrorMessage="1" sqref="C3:C20">
      <formula1>"N,K,W"</formula1>
    </dataValidation>
    <dataValidation type="list" allowBlank="1" showInputMessage="1" showErrorMessage="1" sqref="G3:G20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headerFooter>
    <oddHeader>&amp;LWojewództwo &amp;K000000Lubuskie&amp;K01+000 -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showGridLines="0" view="pageBreakPreview" zoomScale="85" zoomScaleNormal="100" zoomScaleSheetLayoutView="85" workbookViewId="0">
      <selection sqref="A1:A2"/>
    </sheetView>
  </sheetViews>
  <sheetFormatPr defaultRowHeight="12" x14ac:dyDescent="0.2"/>
  <cols>
    <col min="1" max="1" width="5" style="226" customWidth="1"/>
    <col min="2" max="2" width="12" style="226" customWidth="1"/>
    <col min="3" max="3" width="19.7109375" style="226" customWidth="1"/>
    <col min="4" max="4" width="14.5703125" style="226" customWidth="1"/>
    <col min="5" max="5" width="10.7109375" style="174" customWidth="1"/>
    <col min="6" max="6" width="12.7109375" style="226" customWidth="1"/>
    <col min="7" max="7" width="38.7109375" style="226" customWidth="1"/>
    <col min="8" max="8" width="8.7109375" style="226" customWidth="1"/>
    <col min="9" max="10" width="15.85546875" style="226" customWidth="1"/>
    <col min="11" max="11" width="18" style="271" customWidth="1"/>
    <col min="12" max="12" width="16.42578125" style="226" customWidth="1"/>
    <col min="13" max="13" width="16.28515625" style="226" customWidth="1"/>
    <col min="14" max="14" width="12.85546875" style="173" customWidth="1"/>
    <col min="15" max="15" width="12.7109375" style="226" customWidth="1"/>
    <col min="16" max="16" width="15.140625" style="226" customWidth="1"/>
    <col min="17" max="17" width="16.140625" style="270" customWidth="1"/>
    <col min="18" max="18" width="16.140625" style="226" customWidth="1"/>
    <col min="19" max="19" width="13.5703125" style="226" customWidth="1"/>
    <col min="20" max="20" width="14.7109375" style="226" customWidth="1"/>
    <col min="21" max="21" width="13.85546875" style="226" customWidth="1"/>
    <col min="22" max="22" width="13.7109375" style="226" customWidth="1"/>
    <col min="23" max="23" width="14.5703125" style="226" customWidth="1"/>
    <col min="24" max="24" width="12.28515625" style="226" customWidth="1"/>
    <col min="25" max="27" width="15.7109375" style="225" customWidth="1"/>
    <col min="28" max="28" width="15.7109375" style="226" customWidth="1"/>
    <col min="29" max="16384" width="9.140625" style="226"/>
  </cols>
  <sheetData>
    <row r="1" spans="1:28" ht="20.100000000000001" customHeight="1" x14ac:dyDescent="0.2">
      <c r="A1" s="169" t="s">
        <v>174</v>
      </c>
      <c r="B1" s="169" t="s">
        <v>4</v>
      </c>
      <c r="C1" s="170" t="s">
        <v>41</v>
      </c>
      <c r="D1" s="171" t="s">
        <v>5</v>
      </c>
      <c r="E1" s="169" t="s">
        <v>31</v>
      </c>
      <c r="F1" s="171" t="s">
        <v>14</v>
      </c>
      <c r="G1" s="169" t="s">
        <v>6</v>
      </c>
      <c r="H1" s="169" t="s">
        <v>24</v>
      </c>
      <c r="I1" s="169" t="s">
        <v>7</v>
      </c>
      <c r="J1" s="169" t="s">
        <v>25</v>
      </c>
      <c r="K1" s="172" t="s">
        <v>8</v>
      </c>
      <c r="L1" s="169" t="s">
        <v>16</v>
      </c>
      <c r="M1" s="171" t="s">
        <v>12</v>
      </c>
      <c r="N1" s="169" t="s">
        <v>10</v>
      </c>
      <c r="O1" s="169" t="s">
        <v>11</v>
      </c>
      <c r="P1" s="169"/>
      <c r="Q1" s="169"/>
      <c r="R1" s="169"/>
      <c r="S1" s="169"/>
      <c r="T1" s="169"/>
      <c r="U1" s="169"/>
      <c r="V1" s="169"/>
      <c r="W1" s="169"/>
      <c r="X1" s="169"/>
    </row>
    <row r="2" spans="1:28" ht="46.5" customHeight="1" x14ac:dyDescent="0.2">
      <c r="A2" s="169"/>
      <c r="B2" s="169"/>
      <c r="C2" s="175"/>
      <c r="D2" s="176"/>
      <c r="E2" s="169"/>
      <c r="F2" s="176"/>
      <c r="G2" s="169"/>
      <c r="H2" s="169"/>
      <c r="I2" s="169"/>
      <c r="J2" s="169"/>
      <c r="K2" s="172"/>
      <c r="L2" s="169"/>
      <c r="M2" s="176"/>
      <c r="N2" s="169"/>
      <c r="O2" s="177">
        <v>2019</v>
      </c>
      <c r="P2" s="177">
        <v>2020</v>
      </c>
      <c r="Q2" s="177">
        <v>2021</v>
      </c>
      <c r="R2" s="177">
        <v>2022</v>
      </c>
      <c r="S2" s="177">
        <v>2023</v>
      </c>
      <c r="T2" s="177">
        <v>2024</v>
      </c>
      <c r="U2" s="177">
        <v>2025</v>
      </c>
      <c r="V2" s="177">
        <v>2026</v>
      </c>
      <c r="W2" s="177">
        <v>2027</v>
      </c>
      <c r="X2" s="177">
        <v>2028</v>
      </c>
      <c r="Y2" s="173" t="s">
        <v>27</v>
      </c>
      <c r="Z2" s="173" t="s">
        <v>28</v>
      </c>
      <c r="AA2" s="173" t="s">
        <v>29</v>
      </c>
      <c r="AB2" s="178" t="s">
        <v>30</v>
      </c>
    </row>
    <row r="3" spans="1:28" ht="35.25" customHeight="1" x14ac:dyDescent="0.2">
      <c r="A3" s="227" t="s">
        <v>43</v>
      </c>
      <c r="B3" s="180" t="s">
        <v>161</v>
      </c>
      <c r="C3" s="181" t="s">
        <v>57</v>
      </c>
      <c r="D3" s="180" t="s">
        <v>94</v>
      </c>
      <c r="E3" s="182" t="s">
        <v>146</v>
      </c>
      <c r="F3" s="179" t="s">
        <v>59</v>
      </c>
      <c r="G3" s="180" t="s">
        <v>160</v>
      </c>
      <c r="H3" s="179" t="s">
        <v>69</v>
      </c>
      <c r="I3" s="192">
        <v>3.5779999999999998</v>
      </c>
      <c r="J3" s="179" t="s">
        <v>177</v>
      </c>
      <c r="K3" s="228">
        <v>26470834</v>
      </c>
      <c r="L3" s="185">
        <f t="shared" ref="L3:L8" si="0">ROUNDDOWN(K3*N3,0)</f>
        <v>13235417</v>
      </c>
      <c r="M3" s="228">
        <f t="shared" ref="M3:M8" si="1">K3-L3</f>
        <v>13235417</v>
      </c>
      <c r="N3" s="187">
        <v>0.5</v>
      </c>
      <c r="O3" s="185">
        <v>0</v>
      </c>
      <c r="P3" s="185">
        <v>58733</v>
      </c>
      <c r="Q3" s="229">
        <v>1271395</v>
      </c>
      <c r="R3" s="228">
        <v>2697088</v>
      </c>
      <c r="S3" s="228">
        <v>1597954</v>
      </c>
      <c r="T3" s="228">
        <v>3709852</v>
      </c>
      <c r="U3" s="228">
        <v>1709424</v>
      </c>
      <c r="V3" s="228">
        <v>2190971</v>
      </c>
      <c r="W3" s="228"/>
      <c r="X3" s="228"/>
      <c r="Y3" s="173" t="b">
        <f t="shared" ref="Y3:Y17" si="2">L3=SUM(O3:X3)</f>
        <v>1</v>
      </c>
      <c r="Z3" s="188">
        <f t="shared" ref="Z3:Z17" si="3">ROUND(L3/K3,4)</f>
        <v>0.5</v>
      </c>
      <c r="AA3" s="189" t="b">
        <f t="shared" ref="AA3:AA17" si="4">Z3=N3</f>
        <v>1</v>
      </c>
      <c r="AB3" s="189" t="b">
        <f t="shared" ref="AB3:AB17" si="5">K3=L3+M3</f>
        <v>1</v>
      </c>
    </row>
    <row r="4" spans="1:28" ht="35.25" customHeight="1" x14ac:dyDescent="0.2">
      <c r="A4" s="227" t="s">
        <v>44</v>
      </c>
      <c r="B4" s="180" t="s">
        <v>163</v>
      </c>
      <c r="C4" s="181" t="s">
        <v>57</v>
      </c>
      <c r="D4" s="180" t="s">
        <v>94</v>
      </c>
      <c r="E4" s="182" t="s">
        <v>146</v>
      </c>
      <c r="F4" s="179" t="s">
        <v>59</v>
      </c>
      <c r="G4" s="180" t="s">
        <v>162</v>
      </c>
      <c r="H4" s="179" t="s">
        <v>69</v>
      </c>
      <c r="I4" s="192">
        <v>1.794</v>
      </c>
      <c r="J4" s="179" t="s">
        <v>178</v>
      </c>
      <c r="K4" s="228">
        <v>9387529</v>
      </c>
      <c r="L4" s="185">
        <f t="shared" si="0"/>
        <v>4693764</v>
      </c>
      <c r="M4" s="228">
        <f t="shared" si="1"/>
        <v>4693765</v>
      </c>
      <c r="N4" s="187">
        <v>0.5</v>
      </c>
      <c r="O4" s="185">
        <v>0</v>
      </c>
      <c r="P4" s="185">
        <v>95417</v>
      </c>
      <c r="Q4" s="229">
        <v>1402343</v>
      </c>
      <c r="R4" s="228">
        <v>3196004</v>
      </c>
      <c r="S4" s="228"/>
      <c r="T4" s="228"/>
      <c r="U4" s="228"/>
      <c r="V4" s="228"/>
      <c r="W4" s="228"/>
      <c r="X4" s="228"/>
      <c r="Y4" s="173" t="b">
        <f t="shared" si="2"/>
        <v>1</v>
      </c>
      <c r="Z4" s="188">
        <f t="shared" si="3"/>
        <v>0.5</v>
      </c>
      <c r="AA4" s="189" t="b">
        <f t="shared" si="4"/>
        <v>1</v>
      </c>
      <c r="AB4" s="189" t="b">
        <f t="shared" si="5"/>
        <v>1</v>
      </c>
    </row>
    <row r="5" spans="1:28" ht="27" customHeight="1" x14ac:dyDescent="0.2">
      <c r="A5" s="227" t="s">
        <v>45</v>
      </c>
      <c r="B5" s="180" t="s">
        <v>167</v>
      </c>
      <c r="C5" s="181" t="s">
        <v>57</v>
      </c>
      <c r="D5" s="180" t="s">
        <v>84</v>
      </c>
      <c r="E5" s="182" t="s">
        <v>135</v>
      </c>
      <c r="F5" s="179" t="s">
        <v>65</v>
      </c>
      <c r="G5" s="180" t="s">
        <v>166</v>
      </c>
      <c r="H5" s="179" t="s">
        <v>69</v>
      </c>
      <c r="I5" s="192">
        <v>0.33300000000000002</v>
      </c>
      <c r="J5" s="179" t="s">
        <v>243</v>
      </c>
      <c r="K5" s="228">
        <v>1469726</v>
      </c>
      <c r="L5" s="185">
        <f t="shared" si="0"/>
        <v>734863</v>
      </c>
      <c r="M5" s="228">
        <f t="shared" si="1"/>
        <v>734863</v>
      </c>
      <c r="N5" s="187">
        <v>0.5</v>
      </c>
      <c r="O5" s="185">
        <v>0</v>
      </c>
      <c r="P5" s="185">
        <v>0</v>
      </c>
      <c r="Q5" s="229">
        <v>167579</v>
      </c>
      <c r="R5" s="228">
        <v>567284</v>
      </c>
      <c r="S5" s="228"/>
      <c r="T5" s="228"/>
      <c r="U5" s="228"/>
      <c r="V5" s="228"/>
      <c r="W5" s="228"/>
      <c r="X5" s="228"/>
      <c r="Y5" s="173" t="b">
        <f t="shared" si="2"/>
        <v>1</v>
      </c>
      <c r="Z5" s="188">
        <f t="shared" si="3"/>
        <v>0.5</v>
      </c>
      <c r="AA5" s="189" t="b">
        <f t="shared" si="4"/>
        <v>1</v>
      </c>
      <c r="AB5" s="189" t="b">
        <f t="shared" si="5"/>
        <v>1</v>
      </c>
    </row>
    <row r="6" spans="1:28" ht="29.25" customHeight="1" x14ac:dyDescent="0.2">
      <c r="A6" s="227" t="s">
        <v>46</v>
      </c>
      <c r="B6" s="180" t="s">
        <v>110</v>
      </c>
      <c r="C6" s="181" t="s">
        <v>57</v>
      </c>
      <c r="D6" s="180" t="s">
        <v>91</v>
      </c>
      <c r="E6" s="182" t="s">
        <v>143</v>
      </c>
      <c r="F6" s="179" t="s">
        <v>59</v>
      </c>
      <c r="G6" s="180" t="s">
        <v>119</v>
      </c>
      <c r="H6" s="179" t="s">
        <v>71</v>
      </c>
      <c r="I6" s="192">
        <v>0.43099999999999999</v>
      </c>
      <c r="J6" s="180" t="s">
        <v>121</v>
      </c>
      <c r="K6" s="230">
        <v>1668918</v>
      </c>
      <c r="L6" s="185">
        <f t="shared" si="0"/>
        <v>834459</v>
      </c>
      <c r="M6" s="228">
        <f t="shared" si="1"/>
        <v>834459</v>
      </c>
      <c r="N6" s="191">
        <v>0.5</v>
      </c>
      <c r="O6" s="185">
        <v>0</v>
      </c>
      <c r="P6" s="185">
        <v>175985</v>
      </c>
      <c r="Q6" s="229">
        <v>87584</v>
      </c>
      <c r="R6" s="228">
        <v>570890</v>
      </c>
      <c r="S6" s="228"/>
      <c r="T6" s="228"/>
      <c r="U6" s="228"/>
      <c r="V6" s="228"/>
      <c r="W6" s="228"/>
      <c r="X6" s="228"/>
      <c r="Y6" s="173" t="b">
        <f t="shared" si="2"/>
        <v>1</v>
      </c>
      <c r="Z6" s="188">
        <f t="shared" si="3"/>
        <v>0.5</v>
      </c>
      <c r="AA6" s="189" t="b">
        <f t="shared" si="4"/>
        <v>1</v>
      </c>
      <c r="AB6" s="189" t="b">
        <f t="shared" si="5"/>
        <v>1</v>
      </c>
    </row>
    <row r="7" spans="1:28" ht="42" customHeight="1" x14ac:dyDescent="0.2">
      <c r="A7" s="227" t="s">
        <v>47</v>
      </c>
      <c r="B7" s="180" t="s">
        <v>113</v>
      </c>
      <c r="C7" s="181" t="s">
        <v>57</v>
      </c>
      <c r="D7" s="180" t="s">
        <v>96</v>
      </c>
      <c r="E7" s="182" t="s">
        <v>149</v>
      </c>
      <c r="F7" s="179" t="s">
        <v>62</v>
      </c>
      <c r="G7" s="180" t="s">
        <v>115</v>
      </c>
      <c r="H7" s="179" t="s">
        <v>70</v>
      </c>
      <c r="I7" s="192">
        <v>0.79100000000000004</v>
      </c>
      <c r="J7" s="180" t="s">
        <v>238</v>
      </c>
      <c r="K7" s="230">
        <v>4942536</v>
      </c>
      <c r="L7" s="185">
        <f t="shared" si="0"/>
        <v>2471268</v>
      </c>
      <c r="M7" s="228">
        <f t="shared" si="1"/>
        <v>2471268</v>
      </c>
      <c r="N7" s="191">
        <v>0.5</v>
      </c>
      <c r="O7" s="185">
        <v>0</v>
      </c>
      <c r="P7" s="185">
        <v>625000</v>
      </c>
      <c r="Q7" s="229">
        <v>1268841</v>
      </c>
      <c r="R7" s="228">
        <v>577427</v>
      </c>
      <c r="S7" s="228"/>
      <c r="T7" s="228"/>
      <c r="U7" s="228"/>
      <c r="V7" s="228"/>
      <c r="W7" s="228"/>
      <c r="X7" s="228"/>
      <c r="Y7" s="173" t="b">
        <f t="shared" si="2"/>
        <v>1</v>
      </c>
      <c r="Z7" s="188">
        <f t="shared" si="3"/>
        <v>0.5</v>
      </c>
      <c r="AA7" s="189" t="b">
        <f t="shared" si="4"/>
        <v>1</v>
      </c>
      <c r="AB7" s="189" t="b">
        <f t="shared" si="5"/>
        <v>1</v>
      </c>
    </row>
    <row r="8" spans="1:28" ht="52.5" customHeight="1" x14ac:dyDescent="0.2">
      <c r="A8" s="227" t="s">
        <v>48</v>
      </c>
      <c r="B8" s="180" t="s">
        <v>114</v>
      </c>
      <c r="C8" s="181" t="s">
        <v>57</v>
      </c>
      <c r="D8" s="180" t="s">
        <v>98</v>
      </c>
      <c r="E8" s="182" t="s">
        <v>151</v>
      </c>
      <c r="F8" s="179" t="s">
        <v>60</v>
      </c>
      <c r="G8" s="180" t="s">
        <v>168</v>
      </c>
      <c r="H8" s="179" t="s">
        <v>69</v>
      </c>
      <c r="I8" s="192">
        <v>1.5069999999999999</v>
      </c>
      <c r="J8" s="180" t="s">
        <v>286</v>
      </c>
      <c r="K8" s="230">
        <v>5110427</v>
      </c>
      <c r="L8" s="185">
        <f t="shared" si="0"/>
        <v>2555213</v>
      </c>
      <c r="M8" s="228">
        <f t="shared" si="1"/>
        <v>2555214</v>
      </c>
      <c r="N8" s="191">
        <v>0.5</v>
      </c>
      <c r="O8" s="185">
        <v>0</v>
      </c>
      <c r="P8" s="185">
        <v>97170</v>
      </c>
      <c r="Q8" s="184">
        <v>2458043</v>
      </c>
      <c r="R8" s="228"/>
      <c r="S8" s="231"/>
      <c r="T8" s="231"/>
      <c r="U8" s="228"/>
      <c r="V8" s="228"/>
      <c r="W8" s="228"/>
      <c r="X8" s="228"/>
      <c r="Y8" s="173" t="b">
        <f t="shared" si="2"/>
        <v>1</v>
      </c>
      <c r="Z8" s="188">
        <f t="shared" si="3"/>
        <v>0.5</v>
      </c>
      <c r="AA8" s="189" t="b">
        <f t="shared" si="4"/>
        <v>1</v>
      </c>
      <c r="AB8" s="189" t="b">
        <f t="shared" si="5"/>
        <v>1</v>
      </c>
    </row>
    <row r="9" spans="1:28" ht="30" customHeight="1" x14ac:dyDescent="0.2">
      <c r="A9" s="227" t="s">
        <v>49</v>
      </c>
      <c r="B9" s="180" t="s">
        <v>111</v>
      </c>
      <c r="C9" s="181" t="s">
        <v>57</v>
      </c>
      <c r="D9" s="180" t="s">
        <v>92</v>
      </c>
      <c r="E9" s="182" t="s">
        <v>144</v>
      </c>
      <c r="F9" s="179" t="s">
        <v>63</v>
      </c>
      <c r="G9" s="180" t="s">
        <v>169</v>
      </c>
      <c r="H9" s="179" t="s">
        <v>70</v>
      </c>
      <c r="I9" s="192">
        <v>1.538</v>
      </c>
      <c r="J9" s="180" t="s">
        <v>176</v>
      </c>
      <c r="K9" s="230">
        <v>5967419</v>
      </c>
      <c r="L9" s="185">
        <f>ROUNDDOWN(K9*N9,0)</f>
        <v>2983709</v>
      </c>
      <c r="M9" s="228">
        <f>SUM(K9-L9)</f>
        <v>2983710</v>
      </c>
      <c r="N9" s="191">
        <v>0.5</v>
      </c>
      <c r="O9" s="185">
        <v>0</v>
      </c>
      <c r="P9" s="185">
        <v>229656</v>
      </c>
      <c r="Q9" s="184">
        <v>598594</v>
      </c>
      <c r="R9" s="228">
        <v>2155459</v>
      </c>
      <c r="S9" s="228"/>
      <c r="T9" s="228"/>
      <c r="U9" s="228"/>
      <c r="V9" s="228"/>
      <c r="W9" s="228"/>
      <c r="X9" s="228"/>
      <c r="Y9" s="173" t="b">
        <f t="shared" si="2"/>
        <v>1</v>
      </c>
      <c r="Z9" s="188">
        <f t="shared" si="3"/>
        <v>0.5</v>
      </c>
      <c r="AA9" s="189" t="b">
        <f t="shared" si="4"/>
        <v>1</v>
      </c>
      <c r="AB9" s="189" t="b">
        <f t="shared" si="5"/>
        <v>1</v>
      </c>
    </row>
    <row r="10" spans="1:28" ht="41.25" customHeight="1" x14ac:dyDescent="0.2">
      <c r="A10" s="227" t="s">
        <v>287</v>
      </c>
      <c r="B10" s="179" t="s">
        <v>112</v>
      </c>
      <c r="C10" s="181" t="s">
        <v>57</v>
      </c>
      <c r="D10" s="179" t="s">
        <v>93</v>
      </c>
      <c r="E10" s="182" t="s">
        <v>145</v>
      </c>
      <c r="F10" s="179" t="s">
        <v>61</v>
      </c>
      <c r="G10" s="179" t="s">
        <v>120</v>
      </c>
      <c r="H10" s="179" t="s">
        <v>69</v>
      </c>
      <c r="I10" s="192">
        <v>0.63100000000000001</v>
      </c>
      <c r="J10" s="179" t="s">
        <v>288</v>
      </c>
      <c r="K10" s="230">
        <v>1677081</v>
      </c>
      <c r="L10" s="185">
        <v>329235</v>
      </c>
      <c r="M10" s="228">
        <f t="shared" ref="M10:M13" si="6">K10-L10</f>
        <v>1347846</v>
      </c>
      <c r="N10" s="187">
        <v>0.5</v>
      </c>
      <c r="O10" s="185">
        <v>0</v>
      </c>
      <c r="P10" s="185">
        <v>329235</v>
      </c>
      <c r="Q10" s="184">
        <v>0</v>
      </c>
      <c r="R10" s="228"/>
      <c r="S10" s="228"/>
      <c r="T10" s="228"/>
      <c r="U10" s="228"/>
      <c r="V10" s="228"/>
      <c r="W10" s="228"/>
      <c r="X10" s="228"/>
      <c r="Y10" s="173" t="b">
        <f t="shared" si="2"/>
        <v>1</v>
      </c>
      <c r="Z10" s="188">
        <f t="shared" si="3"/>
        <v>0.1963</v>
      </c>
      <c r="AA10" s="189" t="b">
        <f t="shared" si="4"/>
        <v>0</v>
      </c>
      <c r="AB10" s="189" t="b">
        <f t="shared" si="5"/>
        <v>1</v>
      </c>
    </row>
    <row r="11" spans="1:28" ht="44.25" customHeight="1" x14ac:dyDescent="0.2">
      <c r="A11" s="227" t="s">
        <v>50</v>
      </c>
      <c r="B11" s="180" t="s">
        <v>109</v>
      </c>
      <c r="C11" s="181" t="s">
        <v>57</v>
      </c>
      <c r="D11" s="180" t="s">
        <v>85</v>
      </c>
      <c r="E11" s="182" t="s">
        <v>136</v>
      </c>
      <c r="F11" s="179" t="s">
        <v>64</v>
      </c>
      <c r="G11" s="180" t="s">
        <v>118</v>
      </c>
      <c r="H11" s="179" t="s">
        <v>69</v>
      </c>
      <c r="I11" s="192">
        <v>1.077</v>
      </c>
      <c r="J11" s="180" t="s">
        <v>244</v>
      </c>
      <c r="K11" s="230">
        <v>3614712</v>
      </c>
      <c r="L11" s="185">
        <v>1807356</v>
      </c>
      <c r="M11" s="228">
        <f t="shared" si="6"/>
        <v>1807356</v>
      </c>
      <c r="N11" s="187">
        <v>0.5</v>
      </c>
      <c r="O11" s="185">
        <v>0</v>
      </c>
      <c r="P11" s="185">
        <v>1807356</v>
      </c>
      <c r="Q11" s="184"/>
      <c r="R11" s="228"/>
      <c r="S11" s="228"/>
      <c r="T11" s="228"/>
      <c r="U11" s="228"/>
      <c r="V11" s="228"/>
      <c r="W11" s="228"/>
      <c r="X11" s="228"/>
      <c r="Y11" s="173" t="b">
        <f t="shared" si="2"/>
        <v>1</v>
      </c>
      <c r="Z11" s="188">
        <f t="shared" si="3"/>
        <v>0.5</v>
      </c>
      <c r="AA11" s="189" t="b">
        <f t="shared" si="4"/>
        <v>1</v>
      </c>
      <c r="AB11" s="189" t="b">
        <f t="shared" si="5"/>
        <v>1</v>
      </c>
    </row>
    <row r="12" spans="1:28" ht="37.5" customHeight="1" x14ac:dyDescent="0.2">
      <c r="A12" s="227" t="s">
        <v>51</v>
      </c>
      <c r="B12" s="180" t="s">
        <v>108</v>
      </c>
      <c r="C12" s="181" t="s">
        <v>57</v>
      </c>
      <c r="D12" s="180" t="s">
        <v>84</v>
      </c>
      <c r="E12" s="182" t="s">
        <v>135</v>
      </c>
      <c r="F12" s="179" t="s">
        <v>65</v>
      </c>
      <c r="G12" s="180" t="s">
        <v>117</v>
      </c>
      <c r="H12" s="179" t="s">
        <v>69</v>
      </c>
      <c r="I12" s="192">
        <v>0.63</v>
      </c>
      <c r="J12" s="180" t="s">
        <v>289</v>
      </c>
      <c r="K12" s="230">
        <v>2503056</v>
      </c>
      <c r="L12" s="185">
        <v>1251527</v>
      </c>
      <c r="M12" s="228">
        <f t="shared" si="6"/>
        <v>1251529</v>
      </c>
      <c r="N12" s="187">
        <v>0.5</v>
      </c>
      <c r="O12" s="185">
        <v>0</v>
      </c>
      <c r="P12" s="185">
        <v>45196</v>
      </c>
      <c r="Q12" s="184">
        <v>0</v>
      </c>
      <c r="R12" s="228">
        <v>1206331</v>
      </c>
      <c r="S12" s="228"/>
      <c r="T12" s="228"/>
      <c r="U12" s="228"/>
      <c r="V12" s="228"/>
      <c r="W12" s="228"/>
      <c r="X12" s="228"/>
      <c r="Y12" s="173" t="b">
        <f t="shared" si="2"/>
        <v>1</v>
      </c>
      <c r="Z12" s="188">
        <f t="shared" si="3"/>
        <v>0.5</v>
      </c>
      <c r="AA12" s="189" t="b">
        <f t="shared" si="4"/>
        <v>1</v>
      </c>
      <c r="AB12" s="189" t="b">
        <f t="shared" si="5"/>
        <v>1</v>
      </c>
    </row>
    <row r="13" spans="1:28" ht="33.75" customHeight="1" x14ac:dyDescent="0.2">
      <c r="A13" s="227" t="s">
        <v>52</v>
      </c>
      <c r="B13" s="180" t="s">
        <v>107</v>
      </c>
      <c r="C13" s="181" t="s">
        <v>57</v>
      </c>
      <c r="D13" s="180" t="s">
        <v>84</v>
      </c>
      <c r="E13" s="182" t="s">
        <v>135</v>
      </c>
      <c r="F13" s="179" t="s">
        <v>65</v>
      </c>
      <c r="G13" s="180" t="s">
        <v>116</v>
      </c>
      <c r="H13" s="179" t="s">
        <v>69</v>
      </c>
      <c r="I13" s="192">
        <v>0.56599999999999995</v>
      </c>
      <c r="J13" s="180" t="s">
        <v>290</v>
      </c>
      <c r="K13" s="230">
        <v>2066266</v>
      </c>
      <c r="L13" s="185">
        <v>1033132</v>
      </c>
      <c r="M13" s="228">
        <f t="shared" si="6"/>
        <v>1033134</v>
      </c>
      <c r="N13" s="187">
        <v>0.5</v>
      </c>
      <c r="O13" s="185">
        <v>0</v>
      </c>
      <c r="P13" s="185">
        <v>36860</v>
      </c>
      <c r="Q13" s="184">
        <v>0</v>
      </c>
      <c r="R13" s="228">
        <v>996272</v>
      </c>
      <c r="S13" s="228"/>
      <c r="T13" s="228"/>
      <c r="U13" s="228"/>
      <c r="V13" s="228"/>
      <c r="W13" s="228"/>
      <c r="X13" s="228"/>
      <c r="Y13" s="173" t="b">
        <f t="shared" si="2"/>
        <v>1</v>
      </c>
      <c r="Z13" s="188">
        <f t="shared" si="3"/>
        <v>0.5</v>
      </c>
      <c r="AA13" s="189" t="b">
        <f t="shared" si="4"/>
        <v>1</v>
      </c>
      <c r="AB13" s="189" t="b">
        <f t="shared" si="5"/>
        <v>1</v>
      </c>
    </row>
    <row r="14" spans="1:28" ht="49.5" customHeight="1" x14ac:dyDescent="0.2">
      <c r="A14" s="227" t="s">
        <v>53</v>
      </c>
      <c r="B14" s="180" t="s">
        <v>209</v>
      </c>
      <c r="C14" s="180" t="s">
        <v>57</v>
      </c>
      <c r="D14" s="180" t="s">
        <v>95</v>
      </c>
      <c r="E14" s="195" t="s">
        <v>147</v>
      </c>
      <c r="F14" s="180" t="s">
        <v>199</v>
      </c>
      <c r="G14" s="180" t="s">
        <v>291</v>
      </c>
      <c r="H14" s="199" t="s">
        <v>70</v>
      </c>
      <c r="I14" s="199">
        <v>0.53200000000000003</v>
      </c>
      <c r="J14" s="180" t="s">
        <v>292</v>
      </c>
      <c r="K14" s="232">
        <v>1496765</v>
      </c>
      <c r="L14" s="185">
        <f t="shared" ref="L14" si="7">ROUNDDOWN(K14*N14,0)</f>
        <v>748382</v>
      </c>
      <c r="M14" s="228">
        <f t="shared" ref="M14" si="8">SUM(K14-L14)</f>
        <v>748383</v>
      </c>
      <c r="N14" s="187">
        <v>0.5</v>
      </c>
      <c r="O14" s="185">
        <v>0</v>
      </c>
      <c r="P14" s="185">
        <v>0</v>
      </c>
      <c r="Q14" s="229">
        <v>56125</v>
      </c>
      <c r="R14" s="228">
        <v>692257</v>
      </c>
      <c r="S14" s="228"/>
      <c r="T14" s="228"/>
      <c r="U14" s="228"/>
      <c r="V14" s="228"/>
      <c r="W14" s="228"/>
      <c r="X14" s="228"/>
      <c r="Y14" s="173" t="b">
        <f t="shared" si="2"/>
        <v>1</v>
      </c>
      <c r="Z14" s="188">
        <f t="shared" si="3"/>
        <v>0.5</v>
      </c>
      <c r="AA14" s="189" t="b">
        <f t="shared" si="4"/>
        <v>1</v>
      </c>
      <c r="AB14" s="189" t="b">
        <f t="shared" si="5"/>
        <v>1</v>
      </c>
    </row>
    <row r="15" spans="1:28" ht="68.25" customHeight="1" x14ac:dyDescent="0.2">
      <c r="A15" s="227">
        <v>13</v>
      </c>
      <c r="B15" s="180" t="s">
        <v>200</v>
      </c>
      <c r="C15" s="180" t="s">
        <v>57</v>
      </c>
      <c r="D15" s="180" t="s">
        <v>87</v>
      </c>
      <c r="E15" s="195" t="s">
        <v>138</v>
      </c>
      <c r="F15" s="180" t="s">
        <v>201</v>
      </c>
      <c r="G15" s="180" t="s">
        <v>202</v>
      </c>
      <c r="H15" s="180" t="s">
        <v>70</v>
      </c>
      <c r="I15" s="183">
        <v>0.47099999999999997</v>
      </c>
      <c r="J15" s="180" t="s">
        <v>293</v>
      </c>
      <c r="K15" s="233">
        <v>859293</v>
      </c>
      <c r="L15" s="185">
        <v>416359</v>
      </c>
      <c r="M15" s="228">
        <f t="shared" ref="M15:M16" si="9">SUM(K15-L15)</f>
        <v>442934</v>
      </c>
      <c r="N15" s="187">
        <v>0.5</v>
      </c>
      <c r="O15" s="185">
        <v>0</v>
      </c>
      <c r="P15" s="185">
        <v>0</v>
      </c>
      <c r="Q15" s="229">
        <v>207930</v>
      </c>
      <c r="R15" s="228">
        <v>208429</v>
      </c>
      <c r="S15" s="228"/>
      <c r="T15" s="228"/>
      <c r="U15" s="228"/>
      <c r="V15" s="228"/>
      <c r="W15" s="228"/>
      <c r="X15" s="228"/>
      <c r="Y15" s="173" t="b">
        <f t="shared" si="2"/>
        <v>1</v>
      </c>
      <c r="Z15" s="188">
        <f t="shared" si="3"/>
        <v>0.48449999999999999</v>
      </c>
      <c r="AA15" s="189" t="b">
        <f t="shared" si="4"/>
        <v>0</v>
      </c>
      <c r="AB15" s="189" t="b">
        <f t="shared" si="5"/>
        <v>1</v>
      </c>
    </row>
    <row r="16" spans="1:28" ht="31.5" customHeight="1" x14ac:dyDescent="0.2">
      <c r="A16" s="227">
        <v>14</v>
      </c>
      <c r="B16" s="180" t="s">
        <v>229</v>
      </c>
      <c r="C16" s="180" t="s">
        <v>57</v>
      </c>
      <c r="D16" s="180" t="s">
        <v>230</v>
      </c>
      <c r="E16" s="195" t="s">
        <v>237</v>
      </c>
      <c r="F16" s="180" t="s">
        <v>210</v>
      </c>
      <c r="G16" s="180" t="s">
        <v>231</v>
      </c>
      <c r="H16" s="180" t="s">
        <v>69</v>
      </c>
      <c r="I16" s="183">
        <v>0.59399999999999997</v>
      </c>
      <c r="J16" s="180" t="s">
        <v>294</v>
      </c>
      <c r="K16" s="231">
        <v>2072400</v>
      </c>
      <c r="L16" s="185">
        <v>1243439</v>
      </c>
      <c r="M16" s="228">
        <f t="shared" si="9"/>
        <v>828961</v>
      </c>
      <c r="N16" s="187">
        <v>0.6</v>
      </c>
      <c r="O16" s="185">
        <v>0</v>
      </c>
      <c r="P16" s="185">
        <v>0</v>
      </c>
      <c r="Q16" s="229">
        <v>16001</v>
      </c>
      <c r="R16" s="228">
        <v>1227438</v>
      </c>
      <c r="S16" s="228"/>
      <c r="T16" s="228"/>
      <c r="U16" s="228"/>
      <c r="V16" s="228"/>
      <c r="W16" s="228"/>
      <c r="X16" s="228"/>
      <c r="Y16" s="173" t="b">
        <f t="shared" si="2"/>
        <v>1</v>
      </c>
      <c r="Z16" s="188">
        <f t="shared" si="3"/>
        <v>0.6</v>
      </c>
      <c r="AA16" s="189" t="b">
        <f t="shared" si="4"/>
        <v>1</v>
      </c>
      <c r="AB16" s="189" t="b">
        <f t="shared" si="5"/>
        <v>1</v>
      </c>
    </row>
    <row r="17" spans="1:28" ht="65.25" customHeight="1" x14ac:dyDescent="0.2">
      <c r="A17" s="227">
        <v>15</v>
      </c>
      <c r="B17" s="180" t="s">
        <v>203</v>
      </c>
      <c r="C17" s="180" t="s">
        <v>57</v>
      </c>
      <c r="D17" s="180" t="s">
        <v>87</v>
      </c>
      <c r="E17" s="195" t="s">
        <v>138</v>
      </c>
      <c r="F17" s="180" t="s">
        <v>201</v>
      </c>
      <c r="G17" s="180" t="s">
        <v>204</v>
      </c>
      <c r="H17" s="180" t="s">
        <v>70</v>
      </c>
      <c r="I17" s="183">
        <v>1.3779999999999999</v>
      </c>
      <c r="J17" s="180" t="s">
        <v>293</v>
      </c>
      <c r="K17" s="233">
        <v>2220156</v>
      </c>
      <c r="L17" s="185">
        <v>1110077</v>
      </c>
      <c r="M17" s="228">
        <f t="shared" ref="M17" si="10">SUM(K17-L17)</f>
        <v>1110079</v>
      </c>
      <c r="N17" s="187">
        <v>0.5</v>
      </c>
      <c r="O17" s="185">
        <v>0</v>
      </c>
      <c r="P17" s="185">
        <v>0</v>
      </c>
      <c r="Q17" s="229">
        <v>583216</v>
      </c>
      <c r="R17" s="228">
        <v>526861</v>
      </c>
      <c r="S17" s="228"/>
      <c r="T17" s="228"/>
      <c r="U17" s="228"/>
      <c r="V17" s="228"/>
      <c r="W17" s="228"/>
      <c r="X17" s="228"/>
      <c r="Y17" s="173" t="b">
        <f t="shared" si="2"/>
        <v>1</v>
      </c>
      <c r="Z17" s="188">
        <f t="shared" si="3"/>
        <v>0.5</v>
      </c>
      <c r="AA17" s="189" t="b">
        <f t="shared" si="4"/>
        <v>1</v>
      </c>
      <c r="AB17" s="189" t="b">
        <f t="shared" si="5"/>
        <v>1</v>
      </c>
    </row>
    <row r="18" spans="1:28" ht="30.75" customHeight="1" x14ac:dyDescent="0.2">
      <c r="A18" s="227">
        <v>16</v>
      </c>
      <c r="B18" s="180" t="s">
        <v>211</v>
      </c>
      <c r="C18" s="180" t="s">
        <v>57</v>
      </c>
      <c r="D18" s="180" t="s">
        <v>100</v>
      </c>
      <c r="E18" s="195" t="s">
        <v>152</v>
      </c>
      <c r="F18" s="180" t="s">
        <v>197</v>
      </c>
      <c r="G18" s="180" t="s">
        <v>212</v>
      </c>
      <c r="H18" s="180" t="s">
        <v>69</v>
      </c>
      <c r="I18" s="183">
        <v>1.5720000000000001</v>
      </c>
      <c r="J18" s="180" t="s">
        <v>213</v>
      </c>
      <c r="K18" s="232">
        <v>2685747</v>
      </c>
      <c r="L18" s="185">
        <v>1877555</v>
      </c>
      <c r="M18" s="228">
        <f>SUM(K18-L18)</f>
        <v>808192</v>
      </c>
      <c r="N18" s="187">
        <v>0.8</v>
      </c>
      <c r="O18" s="185">
        <v>0</v>
      </c>
      <c r="P18" s="185">
        <v>0</v>
      </c>
      <c r="Q18" s="229">
        <v>960000</v>
      </c>
      <c r="R18" s="228">
        <v>917555</v>
      </c>
      <c r="S18" s="228"/>
      <c r="T18" s="228"/>
      <c r="U18" s="228"/>
      <c r="V18" s="228"/>
      <c r="W18" s="228"/>
      <c r="X18" s="228"/>
      <c r="Y18" s="173" t="b">
        <f t="shared" ref="Y18:Y58" si="11">L18=SUM(O18:X18)</f>
        <v>1</v>
      </c>
      <c r="Z18" s="188">
        <f t="shared" ref="Z18:Z58" si="12">ROUND(L18/K18,4)</f>
        <v>0.69910000000000005</v>
      </c>
      <c r="AA18" s="189" t="b">
        <f t="shared" ref="AA18:AA54" si="13">Z18=N18</f>
        <v>0</v>
      </c>
      <c r="AB18" s="189" t="b">
        <f t="shared" ref="AB18:AB58" si="14">K18=L18+M18</f>
        <v>1</v>
      </c>
    </row>
    <row r="19" spans="1:28" ht="93" customHeight="1" x14ac:dyDescent="0.2">
      <c r="A19" s="227" t="s">
        <v>515</v>
      </c>
      <c r="B19" s="180" t="s">
        <v>214</v>
      </c>
      <c r="C19" s="180" t="s">
        <v>57</v>
      </c>
      <c r="D19" s="180" t="s">
        <v>215</v>
      </c>
      <c r="E19" s="195" t="s">
        <v>234</v>
      </c>
      <c r="F19" s="180" t="s">
        <v>199</v>
      </c>
      <c r="G19" s="180" t="s">
        <v>216</v>
      </c>
      <c r="H19" s="180" t="s">
        <v>69</v>
      </c>
      <c r="I19" s="183">
        <v>0.69099999999999995</v>
      </c>
      <c r="J19" s="180" t="s">
        <v>217</v>
      </c>
      <c r="K19" s="231">
        <v>1809128</v>
      </c>
      <c r="L19" s="185">
        <v>60008</v>
      </c>
      <c r="M19" s="228">
        <f t="shared" ref="M19:M20" si="15">SUM(K19-L19)</f>
        <v>1749120</v>
      </c>
      <c r="N19" s="187">
        <v>0.5</v>
      </c>
      <c r="O19" s="185">
        <v>0</v>
      </c>
      <c r="P19" s="185">
        <v>0</v>
      </c>
      <c r="Q19" s="229">
        <v>60008</v>
      </c>
      <c r="R19" s="228">
        <v>0</v>
      </c>
      <c r="S19" s="228"/>
      <c r="T19" s="228"/>
      <c r="U19" s="228"/>
      <c r="V19" s="228"/>
      <c r="W19" s="228"/>
      <c r="X19" s="228"/>
      <c r="Y19" s="173" t="b">
        <f t="shared" si="11"/>
        <v>1</v>
      </c>
      <c r="Z19" s="188">
        <f t="shared" si="12"/>
        <v>3.32E-2</v>
      </c>
      <c r="AA19" s="189" t="b">
        <f t="shared" si="13"/>
        <v>0</v>
      </c>
      <c r="AB19" s="189" t="b">
        <f t="shared" si="14"/>
        <v>1</v>
      </c>
    </row>
    <row r="20" spans="1:28" ht="36" customHeight="1" x14ac:dyDescent="0.2">
      <c r="A20" s="227" t="s">
        <v>516</v>
      </c>
      <c r="B20" s="180" t="s">
        <v>219</v>
      </c>
      <c r="C20" s="180" t="s">
        <v>57</v>
      </c>
      <c r="D20" s="180" t="s">
        <v>103</v>
      </c>
      <c r="E20" s="195" t="s">
        <v>156</v>
      </c>
      <c r="F20" s="180" t="s">
        <v>195</v>
      </c>
      <c r="G20" s="180" t="s">
        <v>220</v>
      </c>
      <c r="H20" s="180" t="s">
        <v>70</v>
      </c>
      <c r="I20" s="183">
        <v>0.40699999999999997</v>
      </c>
      <c r="J20" s="180" t="s">
        <v>221</v>
      </c>
      <c r="K20" s="231">
        <v>1170019</v>
      </c>
      <c r="L20" s="185">
        <v>491350</v>
      </c>
      <c r="M20" s="228">
        <f t="shared" si="15"/>
        <v>678669</v>
      </c>
      <c r="N20" s="187">
        <v>0.7</v>
      </c>
      <c r="O20" s="185">
        <v>0</v>
      </c>
      <c r="P20" s="185">
        <v>0</v>
      </c>
      <c r="Q20" s="229">
        <v>4548</v>
      </c>
      <c r="R20" s="228">
        <v>0</v>
      </c>
      <c r="S20" s="228">
        <v>486802</v>
      </c>
      <c r="T20" s="228"/>
      <c r="U20" s="228"/>
      <c r="V20" s="228"/>
      <c r="W20" s="228"/>
      <c r="X20" s="228"/>
      <c r="Y20" s="173" t="b">
        <f t="shared" si="11"/>
        <v>1</v>
      </c>
      <c r="Z20" s="188">
        <f t="shared" si="12"/>
        <v>0.42</v>
      </c>
      <c r="AA20" s="189" t="b">
        <f t="shared" si="13"/>
        <v>0</v>
      </c>
      <c r="AB20" s="189" t="b">
        <f t="shared" si="14"/>
        <v>1</v>
      </c>
    </row>
    <row r="21" spans="1:28" ht="36" customHeight="1" x14ac:dyDescent="0.2">
      <c r="A21" s="227" t="s">
        <v>517</v>
      </c>
      <c r="B21" s="180" t="s">
        <v>226</v>
      </c>
      <c r="C21" s="180" t="s">
        <v>57</v>
      </c>
      <c r="D21" s="180" t="s">
        <v>96</v>
      </c>
      <c r="E21" s="195" t="s">
        <v>149</v>
      </c>
      <c r="F21" s="180" t="s">
        <v>193</v>
      </c>
      <c r="G21" s="180" t="s">
        <v>227</v>
      </c>
      <c r="H21" s="180" t="s">
        <v>70</v>
      </c>
      <c r="I21" s="183">
        <v>0.25900000000000001</v>
      </c>
      <c r="J21" s="180" t="s">
        <v>228</v>
      </c>
      <c r="K21" s="231">
        <v>1467202</v>
      </c>
      <c r="L21" s="185">
        <v>338249</v>
      </c>
      <c r="M21" s="228">
        <f t="shared" ref="M21:M22" si="16">SUM(K21-L21)</f>
        <v>1128953</v>
      </c>
      <c r="N21" s="187">
        <v>0.5</v>
      </c>
      <c r="O21" s="185">
        <v>0</v>
      </c>
      <c r="P21" s="185">
        <v>0</v>
      </c>
      <c r="Q21" s="229">
        <v>338249</v>
      </c>
      <c r="R21" s="228">
        <v>0</v>
      </c>
      <c r="S21" s="228"/>
      <c r="T21" s="228"/>
      <c r="U21" s="228"/>
      <c r="V21" s="228"/>
      <c r="W21" s="228"/>
      <c r="X21" s="228"/>
      <c r="Y21" s="173" t="b">
        <f t="shared" si="11"/>
        <v>1</v>
      </c>
      <c r="Z21" s="188">
        <f t="shared" si="12"/>
        <v>0.23050000000000001</v>
      </c>
      <c r="AA21" s="189" t="b">
        <f t="shared" si="13"/>
        <v>0</v>
      </c>
      <c r="AB21" s="189" t="b">
        <f t="shared" si="14"/>
        <v>1</v>
      </c>
    </row>
    <row r="22" spans="1:28" s="267" customFormat="1" ht="42" customHeight="1" x14ac:dyDescent="0.2">
      <c r="A22" s="227" t="s">
        <v>284</v>
      </c>
      <c r="B22" s="180" t="s">
        <v>223</v>
      </c>
      <c r="C22" s="180" t="s">
        <v>57</v>
      </c>
      <c r="D22" s="180" t="s">
        <v>80</v>
      </c>
      <c r="E22" s="195" t="s">
        <v>129</v>
      </c>
      <c r="F22" s="180" t="s">
        <v>196</v>
      </c>
      <c r="G22" s="180" t="s">
        <v>224</v>
      </c>
      <c r="H22" s="180" t="s">
        <v>70</v>
      </c>
      <c r="I22" s="183">
        <v>0.81599999999999995</v>
      </c>
      <c r="J22" s="180" t="s">
        <v>225</v>
      </c>
      <c r="K22" s="231">
        <v>3673636</v>
      </c>
      <c r="L22" s="185">
        <v>1641411</v>
      </c>
      <c r="M22" s="228">
        <f t="shared" si="16"/>
        <v>2032225</v>
      </c>
      <c r="N22" s="187">
        <v>0.8</v>
      </c>
      <c r="O22" s="185">
        <v>0</v>
      </c>
      <c r="P22" s="185">
        <v>0</v>
      </c>
      <c r="Q22" s="229">
        <v>1641411</v>
      </c>
      <c r="R22" s="228">
        <v>0</v>
      </c>
      <c r="S22" s="228"/>
      <c r="T22" s="228"/>
      <c r="U22" s="228"/>
      <c r="V22" s="228"/>
      <c r="W22" s="228"/>
      <c r="X22" s="228"/>
      <c r="Y22" s="173" t="b">
        <f>L22=SUM(O22:X22)</f>
        <v>1</v>
      </c>
      <c r="Z22" s="188">
        <f t="shared" si="12"/>
        <v>0.44679999999999997</v>
      </c>
      <c r="AA22" s="189" t="b">
        <f t="shared" si="13"/>
        <v>0</v>
      </c>
      <c r="AB22" s="189" t="b">
        <f t="shared" si="14"/>
        <v>1</v>
      </c>
    </row>
    <row r="23" spans="1:28" s="267" customFormat="1" ht="36" customHeight="1" x14ac:dyDescent="0.2">
      <c r="A23" s="199">
        <v>21</v>
      </c>
      <c r="B23" s="180" t="s">
        <v>345</v>
      </c>
      <c r="C23" s="180" t="s">
        <v>73</v>
      </c>
      <c r="D23" s="180" t="s">
        <v>80</v>
      </c>
      <c r="E23" s="195" t="s">
        <v>129</v>
      </c>
      <c r="F23" s="180" t="s">
        <v>66</v>
      </c>
      <c r="G23" s="180" t="s">
        <v>346</v>
      </c>
      <c r="H23" s="180" t="s">
        <v>69</v>
      </c>
      <c r="I23" s="183">
        <v>1.016</v>
      </c>
      <c r="J23" s="180" t="s">
        <v>260</v>
      </c>
      <c r="K23" s="198">
        <v>11648173</v>
      </c>
      <c r="L23" s="198">
        <f t="shared" ref="L23" si="17">ROUNDDOWN(K23*N23,0)</f>
        <v>9318538</v>
      </c>
      <c r="M23" s="198">
        <f t="shared" ref="M23" si="18">K23-L23</f>
        <v>2329635</v>
      </c>
      <c r="N23" s="234">
        <v>0.8</v>
      </c>
      <c r="O23" s="198">
        <v>0</v>
      </c>
      <c r="P23" s="198">
        <v>0</v>
      </c>
      <c r="Q23" s="198">
        <v>0</v>
      </c>
      <c r="R23" s="198">
        <v>3738206</v>
      </c>
      <c r="S23" s="198">
        <v>5580332</v>
      </c>
      <c r="T23" s="198"/>
      <c r="U23" s="198"/>
      <c r="V23" s="198"/>
      <c r="W23" s="198"/>
      <c r="X23" s="198"/>
      <c r="Y23" s="173" t="b">
        <f>L23=SUM(O23:X23)</f>
        <v>1</v>
      </c>
      <c r="Z23" s="188">
        <f t="shared" si="12"/>
        <v>0.8</v>
      </c>
      <c r="AA23" s="189" t="b">
        <f t="shared" si="13"/>
        <v>1</v>
      </c>
      <c r="AB23" s="189" t="b">
        <f t="shared" si="14"/>
        <v>1</v>
      </c>
    </row>
    <row r="24" spans="1:28" ht="32.25" customHeight="1" x14ac:dyDescent="0.2">
      <c r="A24" s="180">
        <v>22</v>
      </c>
      <c r="B24" s="180" t="s">
        <v>342</v>
      </c>
      <c r="C24" s="180" t="s">
        <v>73</v>
      </c>
      <c r="D24" s="180" t="s">
        <v>326</v>
      </c>
      <c r="E24" s="195" t="s">
        <v>327</v>
      </c>
      <c r="F24" s="180" t="s">
        <v>58</v>
      </c>
      <c r="G24" s="180" t="s">
        <v>343</v>
      </c>
      <c r="H24" s="180" t="s">
        <v>70</v>
      </c>
      <c r="I24" s="183">
        <v>1.123</v>
      </c>
      <c r="J24" s="180" t="s">
        <v>344</v>
      </c>
      <c r="K24" s="235">
        <v>7156411</v>
      </c>
      <c r="L24" s="236">
        <f t="shared" ref="L24:L52" si="19">ROUNDDOWN(K24*N24,0)</f>
        <v>3578205</v>
      </c>
      <c r="M24" s="235">
        <f t="shared" ref="M24:M52" si="20">K24-L24</f>
        <v>3578206</v>
      </c>
      <c r="N24" s="237">
        <v>0.5</v>
      </c>
      <c r="O24" s="238">
        <v>0</v>
      </c>
      <c r="P24" s="235">
        <v>0</v>
      </c>
      <c r="Q24" s="235">
        <v>0</v>
      </c>
      <c r="R24" s="235">
        <v>1000000</v>
      </c>
      <c r="S24" s="235">
        <v>2000000</v>
      </c>
      <c r="T24" s="235">
        <v>578205</v>
      </c>
      <c r="U24" s="235"/>
      <c r="V24" s="235"/>
      <c r="W24" s="235"/>
      <c r="X24" s="235"/>
      <c r="Y24" s="173" t="b">
        <f t="shared" si="11"/>
        <v>1</v>
      </c>
      <c r="Z24" s="188">
        <f t="shared" si="12"/>
        <v>0.5</v>
      </c>
      <c r="AA24" s="189" t="b">
        <f t="shared" si="13"/>
        <v>1</v>
      </c>
      <c r="AB24" s="189" t="b">
        <f t="shared" si="14"/>
        <v>1</v>
      </c>
    </row>
    <row r="25" spans="1:28" ht="59.25" customHeight="1" x14ac:dyDescent="0.2">
      <c r="A25" s="180">
        <v>23</v>
      </c>
      <c r="B25" s="180" t="s">
        <v>347</v>
      </c>
      <c r="C25" s="180" t="s">
        <v>73</v>
      </c>
      <c r="D25" s="180" t="s">
        <v>98</v>
      </c>
      <c r="E25" s="195" t="s">
        <v>151</v>
      </c>
      <c r="F25" s="180" t="s">
        <v>60</v>
      </c>
      <c r="G25" s="180" t="s">
        <v>348</v>
      </c>
      <c r="H25" s="180" t="s">
        <v>69</v>
      </c>
      <c r="I25" s="183">
        <v>0.84499999999999997</v>
      </c>
      <c r="J25" s="180" t="s">
        <v>349</v>
      </c>
      <c r="K25" s="235">
        <v>4111345</v>
      </c>
      <c r="L25" s="235">
        <f t="shared" si="19"/>
        <v>2466807</v>
      </c>
      <c r="M25" s="235">
        <f t="shared" si="20"/>
        <v>1644538</v>
      </c>
      <c r="N25" s="237">
        <v>0.6</v>
      </c>
      <c r="O25" s="235">
        <v>0</v>
      </c>
      <c r="P25" s="235">
        <v>0</v>
      </c>
      <c r="Q25" s="235">
        <v>0</v>
      </c>
      <c r="R25" s="235">
        <v>312571</v>
      </c>
      <c r="S25" s="235">
        <v>2154236</v>
      </c>
      <c r="T25" s="235"/>
      <c r="U25" s="235"/>
      <c r="V25" s="235"/>
      <c r="W25" s="235"/>
      <c r="X25" s="235"/>
      <c r="Y25" s="173" t="b">
        <f t="shared" si="11"/>
        <v>1</v>
      </c>
      <c r="Z25" s="188">
        <f t="shared" si="12"/>
        <v>0.6</v>
      </c>
      <c r="AA25" s="189" t="b">
        <f t="shared" si="13"/>
        <v>1</v>
      </c>
      <c r="AB25" s="189" t="b">
        <f t="shared" si="14"/>
        <v>1</v>
      </c>
    </row>
    <row r="26" spans="1:28" ht="34.5" customHeight="1" x14ac:dyDescent="0.2">
      <c r="A26" s="200">
        <v>24</v>
      </c>
      <c r="B26" s="201" t="s">
        <v>384</v>
      </c>
      <c r="C26" s="201" t="s">
        <v>56</v>
      </c>
      <c r="D26" s="201" t="s">
        <v>95</v>
      </c>
      <c r="E26" s="202" t="s">
        <v>147</v>
      </c>
      <c r="F26" s="201" t="s">
        <v>60</v>
      </c>
      <c r="G26" s="201" t="s">
        <v>385</v>
      </c>
      <c r="H26" s="201" t="s">
        <v>70</v>
      </c>
      <c r="I26" s="203">
        <v>0.47599999999999998</v>
      </c>
      <c r="J26" s="201" t="s">
        <v>386</v>
      </c>
      <c r="K26" s="239">
        <v>812621</v>
      </c>
      <c r="L26" s="239">
        <f t="shared" ref="L26" si="21">ROUNDDOWN(K26*N26,0)</f>
        <v>406310</v>
      </c>
      <c r="M26" s="239">
        <f t="shared" ref="M26" si="22">K26-L26</f>
        <v>406311</v>
      </c>
      <c r="N26" s="240">
        <v>0.5</v>
      </c>
      <c r="O26" s="208">
        <v>0</v>
      </c>
      <c r="P26" s="208">
        <v>0</v>
      </c>
      <c r="Q26" s="208">
        <v>0</v>
      </c>
      <c r="R26" s="208">
        <f t="shared" ref="R26" si="23">L26</f>
        <v>406310</v>
      </c>
      <c r="S26" s="208"/>
      <c r="T26" s="208"/>
      <c r="U26" s="208"/>
      <c r="V26" s="208"/>
      <c r="W26" s="208"/>
      <c r="X26" s="208"/>
      <c r="Y26" s="173" t="b">
        <f t="shared" si="11"/>
        <v>1</v>
      </c>
      <c r="Z26" s="188">
        <f t="shared" si="12"/>
        <v>0.5</v>
      </c>
      <c r="AA26" s="189" t="b">
        <f t="shared" si="13"/>
        <v>1</v>
      </c>
      <c r="AB26" s="189" t="b">
        <f t="shared" si="14"/>
        <v>1</v>
      </c>
    </row>
    <row r="27" spans="1:28" ht="48.75" customHeight="1" x14ac:dyDescent="0.2">
      <c r="A27" s="200">
        <v>25</v>
      </c>
      <c r="B27" s="201" t="s">
        <v>350</v>
      </c>
      <c r="C27" s="201" t="s">
        <v>56</v>
      </c>
      <c r="D27" s="201" t="s">
        <v>97</v>
      </c>
      <c r="E27" s="202" t="s">
        <v>150</v>
      </c>
      <c r="F27" s="201" t="s">
        <v>61</v>
      </c>
      <c r="G27" s="201" t="s">
        <v>351</v>
      </c>
      <c r="H27" s="201" t="s">
        <v>70</v>
      </c>
      <c r="I27" s="203">
        <v>0.875</v>
      </c>
      <c r="J27" s="201" t="s">
        <v>267</v>
      </c>
      <c r="K27" s="241">
        <v>2507330</v>
      </c>
      <c r="L27" s="239">
        <f t="shared" si="19"/>
        <v>1253665</v>
      </c>
      <c r="M27" s="239">
        <f t="shared" si="20"/>
        <v>1253665</v>
      </c>
      <c r="N27" s="240">
        <v>0.5</v>
      </c>
      <c r="O27" s="208">
        <v>0</v>
      </c>
      <c r="P27" s="208">
        <v>0</v>
      </c>
      <c r="Q27" s="208">
        <v>0</v>
      </c>
      <c r="R27" s="208">
        <f t="shared" ref="R27" si="24">L27</f>
        <v>1253665</v>
      </c>
      <c r="S27" s="208"/>
      <c r="T27" s="208"/>
      <c r="U27" s="208"/>
      <c r="V27" s="208"/>
      <c r="W27" s="208"/>
      <c r="X27" s="208"/>
      <c r="Y27" s="173" t="b">
        <f t="shared" si="11"/>
        <v>1</v>
      </c>
      <c r="Z27" s="188">
        <f t="shared" si="12"/>
        <v>0.5</v>
      </c>
      <c r="AA27" s="189" t="b">
        <f t="shared" si="13"/>
        <v>1</v>
      </c>
      <c r="AB27" s="189" t="b">
        <f t="shared" si="14"/>
        <v>1</v>
      </c>
    </row>
    <row r="28" spans="1:28" ht="48" x14ac:dyDescent="0.2">
      <c r="A28" s="180">
        <v>26</v>
      </c>
      <c r="B28" s="180" t="s">
        <v>416</v>
      </c>
      <c r="C28" s="180" t="s">
        <v>73</v>
      </c>
      <c r="D28" s="180" t="s">
        <v>93</v>
      </c>
      <c r="E28" s="195" t="s">
        <v>145</v>
      </c>
      <c r="F28" s="180" t="s">
        <v>61</v>
      </c>
      <c r="G28" s="180" t="s">
        <v>417</v>
      </c>
      <c r="H28" s="180" t="s">
        <v>69</v>
      </c>
      <c r="I28" s="183">
        <v>0.58199999999999996</v>
      </c>
      <c r="J28" s="180" t="s">
        <v>418</v>
      </c>
      <c r="K28" s="235">
        <v>1692428</v>
      </c>
      <c r="L28" s="235">
        <f>ROUNDDOWN(K28*N28,0)</f>
        <v>1015456</v>
      </c>
      <c r="M28" s="235">
        <f>K28-L28</f>
        <v>676972</v>
      </c>
      <c r="N28" s="237">
        <v>0.6</v>
      </c>
      <c r="O28" s="235">
        <v>0</v>
      </c>
      <c r="P28" s="235">
        <v>0</v>
      </c>
      <c r="Q28" s="235">
        <v>0</v>
      </c>
      <c r="R28" s="235">
        <v>47970</v>
      </c>
      <c r="S28" s="235">
        <v>480000</v>
      </c>
      <c r="T28" s="235">
        <v>487486</v>
      </c>
      <c r="U28" s="235"/>
      <c r="V28" s="235"/>
      <c r="W28" s="235"/>
      <c r="X28" s="235"/>
      <c r="Y28" s="173" t="b">
        <f t="shared" si="11"/>
        <v>1</v>
      </c>
      <c r="Z28" s="188">
        <f t="shared" si="12"/>
        <v>0.6</v>
      </c>
      <c r="AA28" s="189" t="b">
        <f t="shared" si="13"/>
        <v>1</v>
      </c>
      <c r="AB28" s="189" t="b">
        <f t="shared" si="14"/>
        <v>1</v>
      </c>
    </row>
    <row r="29" spans="1:28" ht="30.75" customHeight="1" x14ac:dyDescent="0.2">
      <c r="A29" s="199">
        <v>27</v>
      </c>
      <c r="B29" s="180" t="s">
        <v>419</v>
      </c>
      <c r="C29" s="180" t="s">
        <v>73</v>
      </c>
      <c r="D29" s="180" t="s">
        <v>215</v>
      </c>
      <c r="E29" s="195" t="s">
        <v>234</v>
      </c>
      <c r="F29" s="180" t="s">
        <v>60</v>
      </c>
      <c r="G29" s="180" t="s">
        <v>420</v>
      </c>
      <c r="H29" s="180" t="s">
        <v>69</v>
      </c>
      <c r="I29" s="183">
        <v>0.45900000000000002</v>
      </c>
      <c r="J29" s="180" t="s">
        <v>341</v>
      </c>
      <c r="K29" s="228">
        <v>2806521</v>
      </c>
      <c r="L29" s="198">
        <f>ROUNDDOWN(K29*N29,0)</f>
        <v>1403260</v>
      </c>
      <c r="M29" s="198">
        <f t="shared" ref="M29:M32" si="25">K29-L29</f>
        <v>1403261</v>
      </c>
      <c r="N29" s="234">
        <v>0.5</v>
      </c>
      <c r="O29" s="198">
        <v>0</v>
      </c>
      <c r="P29" s="198">
        <v>0</v>
      </c>
      <c r="Q29" s="198">
        <v>0</v>
      </c>
      <c r="R29" s="198">
        <v>243847</v>
      </c>
      <c r="S29" s="198">
        <v>1159413</v>
      </c>
      <c r="T29" s="198"/>
      <c r="U29" s="198"/>
      <c r="V29" s="198"/>
      <c r="W29" s="198"/>
      <c r="X29" s="198"/>
      <c r="Y29" s="173" t="b">
        <f t="shared" si="11"/>
        <v>1</v>
      </c>
      <c r="Z29" s="188">
        <f t="shared" si="12"/>
        <v>0.5</v>
      </c>
      <c r="AA29" s="189" t="b">
        <f t="shared" si="13"/>
        <v>1</v>
      </c>
      <c r="AB29" s="189" t="b">
        <f t="shared" si="14"/>
        <v>1</v>
      </c>
    </row>
    <row r="30" spans="1:28" ht="28.5" customHeight="1" x14ac:dyDescent="0.2">
      <c r="A30" s="180">
        <v>28</v>
      </c>
      <c r="B30" s="180" t="s">
        <v>366</v>
      </c>
      <c r="C30" s="180" t="s">
        <v>73</v>
      </c>
      <c r="D30" s="180" t="s">
        <v>99</v>
      </c>
      <c r="E30" s="195" t="s">
        <v>133</v>
      </c>
      <c r="F30" s="180" t="s">
        <v>142</v>
      </c>
      <c r="G30" s="180" t="s">
        <v>367</v>
      </c>
      <c r="H30" s="180" t="s">
        <v>70</v>
      </c>
      <c r="I30" s="183">
        <v>1.1679999999999999</v>
      </c>
      <c r="J30" s="180" t="s">
        <v>262</v>
      </c>
      <c r="K30" s="228">
        <v>2664482</v>
      </c>
      <c r="L30" s="198">
        <f t="shared" ref="L30:L32" si="26">ROUNDDOWN(K30*N30,0)</f>
        <v>1332241</v>
      </c>
      <c r="M30" s="198">
        <f t="shared" si="25"/>
        <v>1332241</v>
      </c>
      <c r="N30" s="234">
        <v>0.5</v>
      </c>
      <c r="O30" s="198">
        <v>0</v>
      </c>
      <c r="P30" s="198">
        <v>0</v>
      </c>
      <c r="Q30" s="198">
        <v>0</v>
      </c>
      <c r="R30" s="198">
        <v>864509</v>
      </c>
      <c r="S30" s="198">
        <v>467732</v>
      </c>
      <c r="T30" s="198"/>
      <c r="U30" s="198"/>
      <c r="V30" s="198"/>
      <c r="W30" s="198"/>
      <c r="X30" s="198"/>
      <c r="Y30" s="173" t="b">
        <f t="shared" si="11"/>
        <v>1</v>
      </c>
      <c r="Z30" s="188">
        <f t="shared" si="12"/>
        <v>0.5</v>
      </c>
      <c r="AA30" s="189" t="b">
        <f t="shared" si="13"/>
        <v>1</v>
      </c>
      <c r="AB30" s="189" t="b">
        <f t="shared" si="14"/>
        <v>1</v>
      </c>
    </row>
    <row r="31" spans="1:28" ht="36" x14ac:dyDescent="0.2">
      <c r="A31" s="200">
        <v>29</v>
      </c>
      <c r="B31" s="201" t="s">
        <v>413</v>
      </c>
      <c r="C31" s="201" t="s">
        <v>56</v>
      </c>
      <c r="D31" s="201" t="s">
        <v>332</v>
      </c>
      <c r="E31" s="202" t="s">
        <v>333</v>
      </c>
      <c r="F31" s="201" t="s">
        <v>62</v>
      </c>
      <c r="G31" s="201" t="s">
        <v>414</v>
      </c>
      <c r="H31" s="200" t="s">
        <v>70</v>
      </c>
      <c r="I31" s="242">
        <v>0.99399999999999999</v>
      </c>
      <c r="J31" s="201" t="s">
        <v>415</v>
      </c>
      <c r="K31" s="239">
        <v>891520</v>
      </c>
      <c r="L31" s="239">
        <f t="shared" si="26"/>
        <v>624064</v>
      </c>
      <c r="M31" s="239">
        <f t="shared" si="25"/>
        <v>267456</v>
      </c>
      <c r="N31" s="240">
        <v>0.7</v>
      </c>
      <c r="O31" s="208">
        <v>0</v>
      </c>
      <c r="P31" s="208">
        <v>0</v>
      </c>
      <c r="Q31" s="208">
        <v>0</v>
      </c>
      <c r="R31" s="208">
        <f>L31</f>
        <v>624064</v>
      </c>
      <c r="S31" s="208"/>
      <c r="T31" s="208"/>
      <c r="U31" s="208"/>
      <c r="V31" s="208"/>
      <c r="W31" s="208"/>
      <c r="X31" s="208"/>
      <c r="Y31" s="173" t="b">
        <f t="shared" si="11"/>
        <v>1</v>
      </c>
      <c r="Z31" s="188">
        <f t="shared" si="12"/>
        <v>0.7</v>
      </c>
      <c r="AA31" s="189" t="b">
        <f t="shared" si="13"/>
        <v>1</v>
      </c>
      <c r="AB31" s="189" t="b">
        <f t="shared" si="14"/>
        <v>1</v>
      </c>
    </row>
    <row r="32" spans="1:28" ht="27.75" customHeight="1" x14ac:dyDescent="0.2">
      <c r="A32" s="180">
        <v>30</v>
      </c>
      <c r="B32" s="180" t="s">
        <v>368</v>
      </c>
      <c r="C32" s="180" t="s">
        <v>73</v>
      </c>
      <c r="D32" s="180" t="s">
        <v>328</v>
      </c>
      <c r="E32" s="195" t="s">
        <v>329</v>
      </c>
      <c r="F32" s="180" t="s">
        <v>64</v>
      </c>
      <c r="G32" s="180" t="s">
        <v>369</v>
      </c>
      <c r="H32" s="180" t="s">
        <v>70</v>
      </c>
      <c r="I32" s="183">
        <v>0.92</v>
      </c>
      <c r="J32" s="180" t="s">
        <v>370</v>
      </c>
      <c r="K32" s="235">
        <v>2868509</v>
      </c>
      <c r="L32" s="235">
        <f t="shared" si="26"/>
        <v>2007956</v>
      </c>
      <c r="M32" s="235">
        <f t="shared" si="25"/>
        <v>860553</v>
      </c>
      <c r="N32" s="237">
        <v>0.7</v>
      </c>
      <c r="O32" s="235">
        <v>0</v>
      </c>
      <c r="P32" s="235">
        <v>0</v>
      </c>
      <c r="Q32" s="235">
        <v>0</v>
      </c>
      <c r="R32" s="235">
        <v>35000</v>
      </c>
      <c r="S32" s="235">
        <v>561400</v>
      </c>
      <c r="T32" s="235">
        <v>1411556</v>
      </c>
      <c r="U32" s="235"/>
      <c r="V32" s="235"/>
      <c r="W32" s="235"/>
      <c r="X32" s="235"/>
      <c r="Y32" s="173" t="b">
        <f t="shared" si="11"/>
        <v>1</v>
      </c>
      <c r="Z32" s="188">
        <f t="shared" si="12"/>
        <v>0.7</v>
      </c>
      <c r="AA32" s="189" t="b">
        <f t="shared" si="13"/>
        <v>1</v>
      </c>
      <c r="AB32" s="189" t="b">
        <f t="shared" si="14"/>
        <v>1</v>
      </c>
    </row>
    <row r="33" spans="1:28" ht="30.75" customHeight="1" x14ac:dyDescent="0.2">
      <c r="A33" s="200">
        <v>31</v>
      </c>
      <c r="B33" s="201" t="s">
        <v>387</v>
      </c>
      <c r="C33" s="201" t="s">
        <v>56</v>
      </c>
      <c r="D33" s="201" t="s">
        <v>79</v>
      </c>
      <c r="E33" s="202" t="s">
        <v>128</v>
      </c>
      <c r="F33" s="201" t="s">
        <v>58</v>
      </c>
      <c r="G33" s="201" t="s">
        <v>388</v>
      </c>
      <c r="H33" s="201" t="s">
        <v>70</v>
      </c>
      <c r="I33" s="203">
        <v>0.5</v>
      </c>
      <c r="J33" s="201" t="s">
        <v>389</v>
      </c>
      <c r="K33" s="241">
        <v>832948</v>
      </c>
      <c r="L33" s="239">
        <f t="shared" si="19"/>
        <v>583063</v>
      </c>
      <c r="M33" s="239">
        <f t="shared" si="20"/>
        <v>249885</v>
      </c>
      <c r="N33" s="240">
        <v>0.7</v>
      </c>
      <c r="O33" s="208">
        <v>0</v>
      </c>
      <c r="P33" s="208">
        <v>0</v>
      </c>
      <c r="Q33" s="208">
        <v>0</v>
      </c>
      <c r="R33" s="208">
        <f t="shared" ref="R33" si="27">L33</f>
        <v>583063</v>
      </c>
      <c r="S33" s="208"/>
      <c r="T33" s="208"/>
      <c r="U33" s="208"/>
      <c r="V33" s="208"/>
      <c r="W33" s="208"/>
      <c r="X33" s="208"/>
      <c r="Y33" s="173" t="b">
        <f t="shared" si="11"/>
        <v>1</v>
      </c>
      <c r="Z33" s="188">
        <f t="shared" si="12"/>
        <v>0.7</v>
      </c>
      <c r="AA33" s="189" t="b">
        <f t="shared" si="13"/>
        <v>1</v>
      </c>
      <c r="AB33" s="189" t="b">
        <f t="shared" si="14"/>
        <v>1</v>
      </c>
    </row>
    <row r="34" spans="1:28" ht="29.25" customHeight="1" x14ac:dyDescent="0.2">
      <c r="A34" s="199">
        <v>32</v>
      </c>
      <c r="B34" s="180" t="s">
        <v>390</v>
      </c>
      <c r="C34" s="180" t="s">
        <v>73</v>
      </c>
      <c r="D34" s="180" t="s">
        <v>103</v>
      </c>
      <c r="E34" s="195" t="s">
        <v>156</v>
      </c>
      <c r="F34" s="180" t="s">
        <v>58</v>
      </c>
      <c r="G34" s="180" t="s">
        <v>391</v>
      </c>
      <c r="H34" s="180" t="s">
        <v>70</v>
      </c>
      <c r="I34" s="183">
        <v>0.432</v>
      </c>
      <c r="J34" s="180" t="s">
        <v>392</v>
      </c>
      <c r="K34" s="228">
        <v>1658107</v>
      </c>
      <c r="L34" s="198">
        <f t="shared" si="19"/>
        <v>829053</v>
      </c>
      <c r="M34" s="198">
        <f t="shared" si="20"/>
        <v>829054</v>
      </c>
      <c r="N34" s="234">
        <v>0.5</v>
      </c>
      <c r="O34" s="198">
        <v>0</v>
      </c>
      <c r="P34" s="198">
        <v>0</v>
      </c>
      <c r="Q34" s="198">
        <v>0</v>
      </c>
      <c r="R34" s="198">
        <v>817123</v>
      </c>
      <c r="S34" s="198">
        <v>11930</v>
      </c>
      <c r="T34" s="198"/>
      <c r="U34" s="198"/>
      <c r="V34" s="198"/>
      <c r="W34" s="198"/>
      <c r="X34" s="198"/>
      <c r="Y34" s="173" t="b">
        <f t="shared" si="11"/>
        <v>1</v>
      </c>
      <c r="Z34" s="188">
        <f t="shared" si="12"/>
        <v>0.5</v>
      </c>
      <c r="AA34" s="189" t="b">
        <f t="shared" si="13"/>
        <v>1</v>
      </c>
      <c r="AB34" s="189" t="b">
        <f t="shared" si="14"/>
        <v>1</v>
      </c>
    </row>
    <row r="35" spans="1:28" ht="32.25" customHeight="1" x14ac:dyDescent="0.2">
      <c r="A35" s="200">
        <v>33</v>
      </c>
      <c r="B35" s="201" t="s">
        <v>393</v>
      </c>
      <c r="C35" s="201" t="s">
        <v>56</v>
      </c>
      <c r="D35" s="201" t="s">
        <v>106</v>
      </c>
      <c r="E35" s="202" t="s">
        <v>159</v>
      </c>
      <c r="F35" s="201" t="s">
        <v>61</v>
      </c>
      <c r="G35" s="201" t="s">
        <v>394</v>
      </c>
      <c r="H35" s="201" t="s">
        <v>69</v>
      </c>
      <c r="I35" s="203">
        <v>0.59699999999999998</v>
      </c>
      <c r="J35" s="201" t="s">
        <v>395</v>
      </c>
      <c r="K35" s="239">
        <v>612456</v>
      </c>
      <c r="L35" s="239">
        <f t="shared" si="19"/>
        <v>428719</v>
      </c>
      <c r="M35" s="239">
        <f t="shared" si="20"/>
        <v>183737</v>
      </c>
      <c r="N35" s="240">
        <v>0.7</v>
      </c>
      <c r="O35" s="208">
        <v>0</v>
      </c>
      <c r="P35" s="208">
        <v>0</v>
      </c>
      <c r="Q35" s="208">
        <v>0</v>
      </c>
      <c r="R35" s="208">
        <f t="shared" ref="R35" si="28">L35</f>
        <v>428719</v>
      </c>
      <c r="S35" s="208"/>
      <c r="T35" s="208"/>
      <c r="U35" s="208"/>
      <c r="V35" s="208"/>
      <c r="W35" s="208"/>
      <c r="X35" s="208"/>
      <c r="Y35" s="173" t="b">
        <f t="shared" si="11"/>
        <v>1</v>
      </c>
      <c r="Z35" s="188">
        <f t="shared" si="12"/>
        <v>0.7</v>
      </c>
      <c r="AA35" s="189" t="b">
        <f t="shared" si="13"/>
        <v>1</v>
      </c>
      <c r="AB35" s="189" t="b">
        <f t="shared" si="14"/>
        <v>1</v>
      </c>
    </row>
    <row r="36" spans="1:28" ht="32.25" customHeight="1" x14ac:dyDescent="0.2">
      <c r="A36" s="209">
        <v>34</v>
      </c>
      <c r="B36" s="201" t="s">
        <v>379</v>
      </c>
      <c r="C36" s="209" t="s">
        <v>56</v>
      </c>
      <c r="D36" s="209" t="s">
        <v>100</v>
      </c>
      <c r="E36" s="210" t="s">
        <v>152</v>
      </c>
      <c r="F36" s="209" t="s">
        <v>61</v>
      </c>
      <c r="G36" s="209" t="s">
        <v>396</v>
      </c>
      <c r="H36" s="209" t="s">
        <v>69</v>
      </c>
      <c r="I36" s="211">
        <v>0.56000000000000005</v>
      </c>
      <c r="J36" s="209" t="s">
        <v>380</v>
      </c>
      <c r="K36" s="208">
        <v>1935652</v>
      </c>
      <c r="L36" s="208">
        <f t="shared" si="19"/>
        <v>1548521</v>
      </c>
      <c r="M36" s="243">
        <f t="shared" ref="M36:M37" si="29">K36-L36</f>
        <v>387131</v>
      </c>
      <c r="N36" s="244">
        <v>0.8</v>
      </c>
      <c r="O36" s="243">
        <v>0</v>
      </c>
      <c r="P36" s="245">
        <v>0</v>
      </c>
      <c r="Q36" s="245">
        <v>0</v>
      </c>
      <c r="R36" s="245">
        <f>L36</f>
        <v>1548521</v>
      </c>
      <c r="S36" s="245"/>
      <c r="T36" s="245"/>
      <c r="U36" s="245"/>
      <c r="V36" s="245"/>
      <c r="W36" s="245"/>
      <c r="X36" s="245"/>
      <c r="Y36" s="173" t="b">
        <f t="shared" si="11"/>
        <v>1</v>
      </c>
      <c r="Z36" s="188">
        <f t="shared" si="12"/>
        <v>0.8</v>
      </c>
      <c r="AA36" s="189" t="b">
        <f t="shared" si="13"/>
        <v>1</v>
      </c>
      <c r="AB36" s="189" t="b">
        <f t="shared" si="14"/>
        <v>1</v>
      </c>
    </row>
    <row r="37" spans="1:28" ht="32.25" customHeight="1" x14ac:dyDescent="0.2">
      <c r="A37" s="201">
        <v>35</v>
      </c>
      <c r="B37" s="201" t="s">
        <v>377</v>
      </c>
      <c r="C37" s="201" t="s">
        <v>56</v>
      </c>
      <c r="D37" s="201" t="s">
        <v>78</v>
      </c>
      <c r="E37" s="202" t="s">
        <v>127</v>
      </c>
      <c r="F37" s="201" t="s">
        <v>59</v>
      </c>
      <c r="G37" s="201" t="s">
        <v>378</v>
      </c>
      <c r="H37" s="201" t="s">
        <v>70</v>
      </c>
      <c r="I37" s="203">
        <v>0.73299999999999998</v>
      </c>
      <c r="J37" s="201" t="s">
        <v>267</v>
      </c>
      <c r="K37" s="208">
        <v>900808</v>
      </c>
      <c r="L37" s="208">
        <f t="shared" si="19"/>
        <v>450404</v>
      </c>
      <c r="M37" s="208">
        <f t="shared" si="29"/>
        <v>450404</v>
      </c>
      <c r="N37" s="244">
        <v>0.5</v>
      </c>
      <c r="O37" s="243">
        <v>0</v>
      </c>
      <c r="P37" s="245">
        <v>0</v>
      </c>
      <c r="Q37" s="245">
        <v>0</v>
      </c>
      <c r="R37" s="245">
        <f t="shared" ref="R37" si="30">L37</f>
        <v>450404</v>
      </c>
      <c r="S37" s="245"/>
      <c r="T37" s="245"/>
      <c r="U37" s="245"/>
      <c r="V37" s="245"/>
      <c r="W37" s="245"/>
      <c r="X37" s="245"/>
      <c r="Y37" s="173" t="b">
        <f t="shared" si="11"/>
        <v>1</v>
      </c>
      <c r="Z37" s="188">
        <f t="shared" si="12"/>
        <v>0.5</v>
      </c>
      <c r="AA37" s="189" t="b">
        <f t="shared" si="13"/>
        <v>1</v>
      </c>
      <c r="AB37" s="189" t="b">
        <f t="shared" si="14"/>
        <v>1</v>
      </c>
    </row>
    <row r="38" spans="1:28" ht="32.25" customHeight="1" x14ac:dyDescent="0.2">
      <c r="A38" s="201">
        <v>36</v>
      </c>
      <c r="B38" s="201" t="s">
        <v>352</v>
      </c>
      <c r="C38" s="201" t="s">
        <v>56</v>
      </c>
      <c r="D38" s="201" t="s">
        <v>330</v>
      </c>
      <c r="E38" s="202" t="s">
        <v>331</v>
      </c>
      <c r="F38" s="201" t="s">
        <v>65</v>
      </c>
      <c r="G38" s="201" t="s">
        <v>353</v>
      </c>
      <c r="H38" s="201" t="s">
        <v>70</v>
      </c>
      <c r="I38" s="203">
        <v>0.374</v>
      </c>
      <c r="J38" s="201" t="s">
        <v>354</v>
      </c>
      <c r="K38" s="208">
        <v>801225</v>
      </c>
      <c r="L38" s="208">
        <f t="shared" si="19"/>
        <v>400612</v>
      </c>
      <c r="M38" s="208">
        <f t="shared" si="20"/>
        <v>400613</v>
      </c>
      <c r="N38" s="244">
        <v>0.5</v>
      </c>
      <c r="O38" s="208">
        <v>0</v>
      </c>
      <c r="P38" s="208">
        <v>0</v>
      </c>
      <c r="Q38" s="208">
        <v>0</v>
      </c>
      <c r="R38" s="208">
        <f>L38</f>
        <v>400612</v>
      </c>
      <c r="S38" s="208"/>
      <c r="T38" s="208"/>
      <c r="U38" s="208"/>
      <c r="V38" s="208"/>
      <c r="W38" s="208"/>
      <c r="X38" s="208"/>
      <c r="Y38" s="173" t="b">
        <f t="shared" si="11"/>
        <v>1</v>
      </c>
      <c r="Z38" s="188">
        <f t="shared" si="12"/>
        <v>0.5</v>
      </c>
      <c r="AA38" s="189" t="b">
        <f t="shared" si="13"/>
        <v>1</v>
      </c>
      <c r="AB38" s="189" t="b">
        <f t="shared" si="14"/>
        <v>1</v>
      </c>
    </row>
    <row r="39" spans="1:28" ht="41.25" customHeight="1" x14ac:dyDescent="0.2">
      <c r="A39" s="209">
        <v>37</v>
      </c>
      <c r="B39" s="201" t="s">
        <v>355</v>
      </c>
      <c r="C39" s="209" t="s">
        <v>56</v>
      </c>
      <c r="D39" s="209" t="s">
        <v>96</v>
      </c>
      <c r="E39" s="210" t="s">
        <v>149</v>
      </c>
      <c r="F39" s="209" t="s">
        <v>62</v>
      </c>
      <c r="G39" s="209" t="s">
        <v>356</v>
      </c>
      <c r="H39" s="209" t="s">
        <v>70</v>
      </c>
      <c r="I39" s="211">
        <v>0.108</v>
      </c>
      <c r="J39" s="209" t="s">
        <v>357</v>
      </c>
      <c r="K39" s="208">
        <v>638814</v>
      </c>
      <c r="L39" s="208">
        <f t="shared" si="19"/>
        <v>319407</v>
      </c>
      <c r="M39" s="208">
        <f t="shared" si="20"/>
        <v>319407</v>
      </c>
      <c r="N39" s="246">
        <v>0.5</v>
      </c>
      <c r="O39" s="208">
        <v>0</v>
      </c>
      <c r="P39" s="208">
        <v>0</v>
      </c>
      <c r="Q39" s="208">
        <v>0</v>
      </c>
      <c r="R39" s="208">
        <f>L39</f>
        <v>319407</v>
      </c>
      <c r="S39" s="208"/>
      <c r="T39" s="208"/>
      <c r="U39" s="208"/>
      <c r="V39" s="208"/>
      <c r="W39" s="208"/>
      <c r="X39" s="208"/>
      <c r="Y39" s="173" t="b">
        <f t="shared" si="11"/>
        <v>1</v>
      </c>
      <c r="Z39" s="188">
        <f t="shared" si="12"/>
        <v>0.5</v>
      </c>
      <c r="AA39" s="189" t="b">
        <f t="shared" si="13"/>
        <v>1</v>
      </c>
      <c r="AB39" s="189" t="b">
        <f t="shared" si="14"/>
        <v>1</v>
      </c>
    </row>
    <row r="40" spans="1:28" ht="41.25" customHeight="1" x14ac:dyDescent="0.2">
      <c r="A40" s="180">
        <v>38</v>
      </c>
      <c r="B40" s="180" t="s">
        <v>410</v>
      </c>
      <c r="C40" s="247" t="s">
        <v>73</v>
      </c>
      <c r="D40" s="180" t="s">
        <v>84</v>
      </c>
      <c r="E40" s="195" t="s">
        <v>135</v>
      </c>
      <c r="F40" s="180" t="s">
        <v>65</v>
      </c>
      <c r="G40" s="180" t="s">
        <v>411</v>
      </c>
      <c r="H40" s="180" t="s">
        <v>69</v>
      </c>
      <c r="I40" s="183">
        <v>0.438</v>
      </c>
      <c r="J40" s="180" t="s">
        <v>412</v>
      </c>
      <c r="K40" s="235">
        <v>2768497</v>
      </c>
      <c r="L40" s="235">
        <f t="shared" ref="L40:L41" si="31">ROUNDDOWN(K40*N40,0)</f>
        <v>1384248</v>
      </c>
      <c r="M40" s="235">
        <f t="shared" ref="M40:M41" si="32">K40-L40</f>
        <v>1384249</v>
      </c>
      <c r="N40" s="237">
        <v>0.5</v>
      </c>
      <c r="O40" s="235">
        <v>0</v>
      </c>
      <c r="P40" s="235">
        <v>0</v>
      </c>
      <c r="Q40" s="235">
        <v>0</v>
      </c>
      <c r="R40" s="235">
        <v>1000</v>
      </c>
      <c r="S40" s="235">
        <v>64637</v>
      </c>
      <c r="T40" s="235">
        <v>879074</v>
      </c>
      <c r="U40" s="235">
        <v>439537</v>
      </c>
      <c r="V40" s="235"/>
      <c r="W40" s="235"/>
      <c r="X40" s="235"/>
      <c r="Y40" s="173" t="b">
        <f t="shared" si="11"/>
        <v>1</v>
      </c>
      <c r="Z40" s="188">
        <f t="shared" si="12"/>
        <v>0.5</v>
      </c>
      <c r="AA40" s="189" t="b">
        <f t="shared" si="13"/>
        <v>1</v>
      </c>
      <c r="AB40" s="189" t="b">
        <f t="shared" si="14"/>
        <v>1</v>
      </c>
    </row>
    <row r="41" spans="1:28" ht="41.25" customHeight="1" x14ac:dyDescent="0.2">
      <c r="A41" s="199">
        <v>39</v>
      </c>
      <c r="B41" s="180" t="s">
        <v>405</v>
      </c>
      <c r="C41" s="180" t="s">
        <v>73</v>
      </c>
      <c r="D41" s="180" t="s">
        <v>75</v>
      </c>
      <c r="E41" s="195" t="s">
        <v>123</v>
      </c>
      <c r="F41" s="180" t="s">
        <v>124</v>
      </c>
      <c r="G41" s="180" t="s">
        <v>406</v>
      </c>
      <c r="H41" s="180" t="s">
        <v>70</v>
      </c>
      <c r="I41" s="180">
        <v>1.119</v>
      </c>
      <c r="J41" s="180" t="s">
        <v>407</v>
      </c>
      <c r="K41" s="198">
        <v>1815903</v>
      </c>
      <c r="L41" s="238">
        <f t="shared" si="31"/>
        <v>907951</v>
      </c>
      <c r="M41" s="238">
        <f t="shared" si="32"/>
        <v>907952</v>
      </c>
      <c r="N41" s="237">
        <v>0.5</v>
      </c>
      <c r="O41" s="238">
        <v>0</v>
      </c>
      <c r="P41" s="238">
        <v>0</v>
      </c>
      <c r="Q41" s="238">
        <v>0</v>
      </c>
      <c r="R41" s="238">
        <v>48436</v>
      </c>
      <c r="S41" s="238">
        <v>859515</v>
      </c>
      <c r="T41" s="238"/>
      <c r="U41" s="238"/>
      <c r="V41" s="238"/>
      <c r="W41" s="238"/>
      <c r="X41" s="238"/>
      <c r="Y41" s="173" t="b">
        <f t="shared" si="11"/>
        <v>1</v>
      </c>
      <c r="Z41" s="188">
        <f t="shared" si="12"/>
        <v>0.5</v>
      </c>
      <c r="AA41" s="189" t="b">
        <f t="shared" si="13"/>
        <v>1</v>
      </c>
      <c r="AB41" s="189" t="b">
        <f t="shared" si="14"/>
        <v>1</v>
      </c>
    </row>
    <row r="42" spans="1:28" ht="30.75" customHeight="1" x14ac:dyDescent="0.2">
      <c r="A42" s="180">
        <v>40</v>
      </c>
      <c r="B42" s="180" t="s">
        <v>358</v>
      </c>
      <c r="C42" s="180" t="s">
        <v>73</v>
      </c>
      <c r="D42" s="180" t="s">
        <v>230</v>
      </c>
      <c r="E42" s="195" t="s">
        <v>237</v>
      </c>
      <c r="F42" s="180" t="s">
        <v>63</v>
      </c>
      <c r="G42" s="180" t="s">
        <v>359</v>
      </c>
      <c r="H42" s="180" t="s">
        <v>70</v>
      </c>
      <c r="I42" s="183">
        <v>1.0609999999999999</v>
      </c>
      <c r="J42" s="180" t="s">
        <v>360</v>
      </c>
      <c r="K42" s="235">
        <v>3658657</v>
      </c>
      <c r="L42" s="238">
        <f t="shared" si="19"/>
        <v>2195194</v>
      </c>
      <c r="M42" s="238">
        <f t="shared" si="20"/>
        <v>1463463</v>
      </c>
      <c r="N42" s="237">
        <v>0.6</v>
      </c>
      <c r="O42" s="235">
        <v>0</v>
      </c>
      <c r="P42" s="235">
        <v>0</v>
      </c>
      <c r="Q42" s="235">
        <v>0</v>
      </c>
      <c r="R42" s="235">
        <v>205666</v>
      </c>
      <c r="S42" s="235">
        <v>1989528</v>
      </c>
      <c r="T42" s="235"/>
      <c r="U42" s="235"/>
      <c r="V42" s="235"/>
      <c r="W42" s="235"/>
      <c r="X42" s="235"/>
      <c r="Y42" s="173" t="b">
        <f>L42=SUM(O42:X42)</f>
        <v>1</v>
      </c>
      <c r="Z42" s="188">
        <f t="shared" si="12"/>
        <v>0.6</v>
      </c>
      <c r="AA42" s="189" t="b">
        <f t="shared" si="13"/>
        <v>1</v>
      </c>
      <c r="AB42" s="189" t="b">
        <f t="shared" si="14"/>
        <v>1</v>
      </c>
    </row>
    <row r="43" spans="1:28" ht="37.5" customHeight="1" x14ac:dyDescent="0.2">
      <c r="A43" s="201">
        <v>41</v>
      </c>
      <c r="B43" s="201" t="s">
        <v>381</v>
      </c>
      <c r="C43" s="201" t="s">
        <v>56</v>
      </c>
      <c r="D43" s="201" t="s">
        <v>86</v>
      </c>
      <c r="E43" s="202" t="s">
        <v>137</v>
      </c>
      <c r="F43" s="201" t="s">
        <v>62</v>
      </c>
      <c r="G43" s="201" t="s">
        <v>382</v>
      </c>
      <c r="H43" s="201" t="s">
        <v>70</v>
      </c>
      <c r="I43" s="203">
        <v>0.97799999999999998</v>
      </c>
      <c r="J43" s="201" t="s">
        <v>383</v>
      </c>
      <c r="K43" s="208">
        <v>1438958</v>
      </c>
      <c r="L43" s="208">
        <f t="shared" ref="L43" si="33">ROUNDDOWN(K43*N43,0)</f>
        <v>1007270</v>
      </c>
      <c r="M43" s="208">
        <f t="shared" ref="M43" si="34">K43-L43</f>
        <v>431688</v>
      </c>
      <c r="N43" s="244">
        <v>0.7</v>
      </c>
      <c r="O43" s="208">
        <v>0</v>
      </c>
      <c r="P43" s="208">
        <v>0</v>
      </c>
      <c r="Q43" s="208">
        <v>0</v>
      </c>
      <c r="R43" s="208">
        <f t="shared" ref="R43" si="35">L43</f>
        <v>1007270</v>
      </c>
      <c r="S43" s="208"/>
      <c r="T43" s="208"/>
      <c r="U43" s="208"/>
      <c r="V43" s="208"/>
      <c r="W43" s="208"/>
      <c r="X43" s="208"/>
      <c r="Y43" s="173" t="b">
        <f>L43=SUM(O43:X43)</f>
        <v>1</v>
      </c>
      <c r="Z43" s="188">
        <f t="shared" si="12"/>
        <v>0.7</v>
      </c>
      <c r="AA43" s="189" t="b">
        <f t="shared" si="13"/>
        <v>1</v>
      </c>
      <c r="AB43" s="189" t="b">
        <f t="shared" si="14"/>
        <v>1</v>
      </c>
    </row>
    <row r="44" spans="1:28" ht="30.75" customHeight="1" x14ac:dyDescent="0.2">
      <c r="A44" s="200">
        <v>42</v>
      </c>
      <c r="B44" s="201" t="s">
        <v>397</v>
      </c>
      <c r="C44" s="200" t="s">
        <v>56</v>
      </c>
      <c r="D44" s="201" t="s">
        <v>82</v>
      </c>
      <c r="E44" s="248" t="s">
        <v>131</v>
      </c>
      <c r="F44" s="200" t="s">
        <v>132</v>
      </c>
      <c r="G44" s="201" t="s">
        <v>398</v>
      </c>
      <c r="H44" s="200" t="s">
        <v>70</v>
      </c>
      <c r="I44" s="200">
        <v>0.34799999999999998</v>
      </c>
      <c r="J44" s="200" t="s">
        <v>270</v>
      </c>
      <c r="K44" s="204">
        <v>772141</v>
      </c>
      <c r="L44" s="243">
        <f t="shared" si="19"/>
        <v>386070</v>
      </c>
      <c r="M44" s="243">
        <f t="shared" si="20"/>
        <v>386071</v>
      </c>
      <c r="N44" s="244">
        <v>0.5</v>
      </c>
      <c r="O44" s="208">
        <v>0</v>
      </c>
      <c r="P44" s="208">
        <v>0</v>
      </c>
      <c r="Q44" s="208">
        <v>0</v>
      </c>
      <c r="R44" s="208">
        <f>L44</f>
        <v>386070</v>
      </c>
      <c r="S44" s="208"/>
      <c r="T44" s="208"/>
      <c r="U44" s="208"/>
      <c r="V44" s="208"/>
      <c r="W44" s="208"/>
      <c r="X44" s="208"/>
      <c r="Y44" s="173" t="b">
        <f t="shared" ref="Y44:Y46" si="36">L44=SUM(O44:X44)</f>
        <v>1</v>
      </c>
      <c r="Z44" s="188">
        <f t="shared" si="12"/>
        <v>0.5</v>
      </c>
      <c r="AA44" s="189" t="b">
        <f t="shared" si="13"/>
        <v>1</v>
      </c>
      <c r="AB44" s="189" t="b">
        <f t="shared" si="14"/>
        <v>1</v>
      </c>
    </row>
    <row r="45" spans="1:28" ht="45.75" customHeight="1" x14ac:dyDescent="0.2">
      <c r="A45" s="199">
        <v>43</v>
      </c>
      <c r="B45" s="180" t="s">
        <v>402</v>
      </c>
      <c r="C45" s="180" t="s">
        <v>73</v>
      </c>
      <c r="D45" s="180" t="s">
        <v>91</v>
      </c>
      <c r="E45" s="195" t="s">
        <v>143</v>
      </c>
      <c r="F45" s="180" t="s">
        <v>59</v>
      </c>
      <c r="G45" s="180" t="s">
        <v>403</v>
      </c>
      <c r="H45" s="180" t="s">
        <v>69</v>
      </c>
      <c r="I45" s="183">
        <v>0.30299999999999999</v>
      </c>
      <c r="J45" s="249" t="s">
        <v>404</v>
      </c>
      <c r="K45" s="228">
        <v>2761551</v>
      </c>
      <c r="L45" s="198">
        <f t="shared" ref="L45" si="37">ROUNDDOWN(K45*N45,0)</f>
        <v>1933085</v>
      </c>
      <c r="M45" s="198">
        <f t="shared" ref="M45" si="38">K45-L45</f>
        <v>828466</v>
      </c>
      <c r="N45" s="234">
        <v>0.7</v>
      </c>
      <c r="O45" s="198">
        <v>0</v>
      </c>
      <c r="P45" s="198">
        <v>0</v>
      </c>
      <c r="Q45" s="198">
        <v>0</v>
      </c>
      <c r="R45" s="198">
        <v>65005</v>
      </c>
      <c r="S45" s="198">
        <v>1868080</v>
      </c>
      <c r="T45" s="198"/>
      <c r="U45" s="198"/>
      <c r="V45" s="198"/>
      <c r="W45" s="198"/>
      <c r="X45" s="198"/>
      <c r="Y45" s="173" t="b">
        <f t="shared" si="36"/>
        <v>1</v>
      </c>
      <c r="Z45" s="188">
        <f t="shared" si="12"/>
        <v>0.7</v>
      </c>
      <c r="AA45" s="189" t="b">
        <f t="shared" si="13"/>
        <v>1</v>
      </c>
      <c r="AB45" s="189" t="b">
        <f t="shared" si="14"/>
        <v>1</v>
      </c>
    </row>
    <row r="46" spans="1:28" ht="42" customHeight="1" x14ac:dyDescent="0.2">
      <c r="A46" s="200">
        <v>44</v>
      </c>
      <c r="B46" s="201" t="s">
        <v>399</v>
      </c>
      <c r="C46" s="201" t="s">
        <v>56</v>
      </c>
      <c r="D46" s="201" t="s">
        <v>164</v>
      </c>
      <c r="E46" s="202" t="s">
        <v>165</v>
      </c>
      <c r="F46" s="201" t="s">
        <v>62</v>
      </c>
      <c r="G46" s="201" t="s">
        <v>400</v>
      </c>
      <c r="H46" s="201" t="s">
        <v>70</v>
      </c>
      <c r="I46" s="203">
        <v>0.218</v>
      </c>
      <c r="J46" s="201" t="s">
        <v>401</v>
      </c>
      <c r="K46" s="241">
        <v>1688896</v>
      </c>
      <c r="L46" s="239">
        <f t="shared" si="19"/>
        <v>1013337</v>
      </c>
      <c r="M46" s="239">
        <f t="shared" si="20"/>
        <v>675559</v>
      </c>
      <c r="N46" s="240">
        <v>0.6</v>
      </c>
      <c r="O46" s="208">
        <v>0</v>
      </c>
      <c r="P46" s="208">
        <v>0</v>
      </c>
      <c r="Q46" s="208">
        <v>0</v>
      </c>
      <c r="R46" s="208">
        <f>L46</f>
        <v>1013337</v>
      </c>
      <c r="S46" s="208"/>
      <c r="T46" s="208"/>
      <c r="U46" s="208"/>
      <c r="V46" s="208"/>
      <c r="W46" s="208"/>
      <c r="X46" s="208"/>
      <c r="Y46" s="173" t="b">
        <f t="shared" si="36"/>
        <v>1</v>
      </c>
      <c r="Z46" s="188">
        <f t="shared" si="12"/>
        <v>0.6</v>
      </c>
      <c r="AA46" s="189" t="b">
        <f t="shared" si="13"/>
        <v>1</v>
      </c>
      <c r="AB46" s="189" t="b">
        <f t="shared" si="14"/>
        <v>1</v>
      </c>
    </row>
    <row r="47" spans="1:28" ht="32.25" customHeight="1" x14ac:dyDescent="0.2">
      <c r="A47" s="199">
        <v>45</v>
      </c>
      <c r="B47" s="180" t="s">
        <v>424</v>
      </c>
      <c r="C47" s="180" t="s">
        <v>73</v>
      </c>
      <c r="D47" s="180" t="s">
        <v>89</v>
      </c>
      <c r="E47" s="195" t="s">
        <v>141</v>
      </c>
      <c r="F47" s="180" t="s">
        <v>142</v>
      </c>
      <c r="G47" s="180" t="s">
        <v>425</v>
      </c>
      <c r="H47" s="180" t="s">
        <v>70</v>
      </c>
      <c r="I47" s="183">
        <v>0.216</v>
      </c>
      <c r="J47" s="180" t="s">
        <v>426</v>
      </c>
      <c r="K47" s="228">
        <v>448927</v>
      </c>
      <c r="L47" s="198">
        <f>ROUNDDOWN(K47*N47,0)</f>
        <v>269356</v>
      </c>
      <c r="M47" s="198">
        <f t="shared" si="20"/>
        <v>179571</v>
      </c>
      <c r="N47" s="234">
        <v>0.6</v>
      </c>
      <c r="O47" s="198">
        <v>0</v>
      </c>
      <c r="P47" s="198">
        <v>0</v>
      </c>
      <c r="Q47" s="198">
        <v>0</v>
      </c>
      <c r="R47" s="198">
        <v>24000</v>
      </c>
      <c r="S47" s="198">
        <v>245356</v>
      </c>
      <c r="T47" s="198"/>
      <c r="U47" s="198"/>
      <c r="V47" s="198"/>
      <c r="W47" s="198"/>
      <c r="X47" s="198"/>
      <c r="Y47" s="173" t="b">
        <f t="shared" si="11"/>
        <v>1</v>
      </c>
      <c r="Z47" s="188">
        <f t="shared" si="12"/>
        <v>0.6</v>
      </c>
      <c r="AA47" s="189" t="b">
        <f t="shared" si="13"/>
        <v>1</v>
      </c>
      <c r="AB47" s="189" t="b">
        <f t="shared" si="14"/>
        <v>1</v>
      </c>
    </row>
    <row r="48" spans="1:28" ht="32.25" customHeight="1" x14ac:dyDescent="0.2">
      <c r="A48" s="180" t="s">
        <v>518</v>
      </c>
      <c r="B48" s="180" t="s">
        <v>339</v>
      </c>
      <c r="C48" s="180" t="s">
        <v>73</v>
      </c>
      <c r="D48" s="180" t="s">
        <v>76</v>
      </c>
      <c r="E48" s="195" t="s">
        <v>125</v>
      </c>
      <c r="F48" s="180" t="s">
        <v>65</v>
      </c>
      <c r="G48" s="180" t="s">
        <v>340</v>
      </c>
      <c r="H48" s="180" t="s">
        <v>69</v>
      </c>
      <c r="I48" s="183">
        <v>1.7849999999999999</v>
      </c>
      <c r="J48" s="180" t="s">
        <v>341</v>
      </c>
      <c r="K48" s="235">
        <v>23078072</v>
      </c>
      <c r="L48" s="235">
        <v>3439816</v>
      </c>
      <c r="M48" s="235">
        <f t="shared" si="20"/>
        <v>19638256</v>
      </c>
      <c r="N48" s="237">
        <v>0.7</v>
      </c>
      <c r="O48" s="235">
        <v>0</v>
      </c>
      <c r="P48" s="235">
        <v>0</v>
      </c>
      <c r="Q48" s="235">
        <v>0</v>
      </c>
      <c r="R48" s="235">
        <v>175000</v>
      </c>
      <c r="S48" s="235">
        <v>3264816</v>
      </c>
      <c r="T48" s="235"/>
      <c r="U48" s="235"/>
      <c r="V48" s="235"/>
      <c r="W48" s="235"/>
      <c r="X48" s="235"/>
      <c r="Y48" s="173" t="b">
        <f t="shared" si="11"/>
        <v>1</v>
      </c>
      <c r="Z48" s="188">
        <f t="shared" si="12"/>
        <v>0.14910000000000001</v>
      </c>
      <c r="AA48" s="189" t="b">
        <f t="shared" si="13"/>
        <v>0</v>
      </c>
      <c r="AB48" s="189" t="b">
        <f t="shared" si="14"/>
        <v>1</v>
      </c>
    </row>
    <row r="49" spans="1:28" ht="33.75" customHeight="1" x14ac:dyDescent="0.2">
      <c r="A49" s="200">
        <v>47</v>
      </c>
      <c r="B49" s="201" t="s">
        <v>408</v>
      </c>
      <c r="C49" s="201" t="s">
        <v>56</v>
      </c>
      <c r="D49" s="201" t="s">
        <v>334</v>
      </c>
      <c r="E49" s="202" t="s">
        <v>335</v>
      </c>
      <c r="F49" s="201" t="s">
        <v>142</v>
      </c>
      <c r="G49" s="201" t="s">
        <v>409</v>
      </c>
      <c r="H49" s="201" t="s">
        <v>70</v>
      </c>
      <c r="I49" s="203">
        <v>0.39200000000000002</v>
      </c>
      <c r="J49" s="201" t="s">
        <v>305</v>
      </c>
      <c r="K49" s="206">
        <v>1521723</v>
      </c>
      <c r="L49" s="239">
        <f t="shared" ref="L49:L50" si="39">ROUNDDOWN(K49*N49,0)</f>
        <v>760861</v>
      </c>
      <c r="M49" s="239">
        <f t="shared" ref="M49:M50" si="40">K49-L49</f>
        <v>760862</v>
      </c>
      <c r="N49" s="240">
        <v>0.5</v>
      </c>
      <c r="O49" s="208">
        <v>0</v>
      </c>
      <c r="P49" s="208">
        <v>0</v>
      </c>
      <c r="Q49" s="208">
        <v>0</v>
      </c>
      <c r="R49" s="208">
        <f t="shared" ref="R49:R50" si="41">L49</f>
        <v>760861</v>
      </c>
      <c r="S49" s="208"/>
      <c r="T49" s="208"/>
      <c r="U49" s="208"/>
      <c r="V49" s="208"/>
      <c r="W49" s="208"/>
      <c r="X49" s="208"/>
      <c r="Y49" s="173" t="b">
        <f t="shared" si="11"/>
        <v>1</v>
      </c>
      <c r="Z49" s="188">
        <f t="shared" si="12"/>
        <v>0.5</v>
      </c>
      <c r="AA49" s="189" t="b">
        <f t="shared" si="13"/>
        <v>1</v>
      </c>
      <c r="AB49" s="189" t="b">
        <f t="shared" si="14"/>
        <v>1</v>
      </c>
    </row>
    <row r="50" spans="1:28" ht="33.75" customHeight="1" x14ac:dyDescent="0.2">
      <c r="A50" s="209">
        <v>48</v>
      </c>
      <c r="B50" s="201" t="s">
        <v>361</v>
      </c>
      <c r="C50" s="201" t="s">
        <v>56</v>
      </c>
      <c r="D50" s="201" t="s">
        <v>87</v>
      </c>
      <c r="E50" s="202" t="s">
        <v>138</v>
      </c>
      <c r="F50" s="201" t="s">
        <v>65</v>
      </c>
      <c r="G50" s="201" t="s">
        <v>362</v>
      </c>
      <c r="H50" s="201" t="s">
        <v>70</v>
      </c>
      <c r="I50" s="203">
        <v>0.38600000000000001</v>
      </c>
      <c r="J50" s="201" t="s">
        <v>305</v>
      </c>
      <c r="K50" s="239">
        <v>1258706</v>
      </c>
      <c r="L50" s="239">
        <f t="shared" si="39"/>
        <v>629353</v>
      </c>
      <c r="M50" s="239">
        <f t="shared" si="40"/>
        <v>629353</v>
      </c>
      <c r="N50" s="240">
        <v>0.5</v>
      </c>
      <c r="O50" s="208">
        <v>0</v>
      </c>
      <c r="P50" s="208">
        <v>0</v>
      </c>
      <c r="Q50" s="208">
        <v>0</v>
      </c>
      <c r="R50" s="208">
        <f t="shared" si="41"/>
        <v>629353</v>
      </c>
      <c r="S50" s="208"/>
      <c r="T50" s="208"/>
      <c r="U50" s="208"/>
      <c r="V50" s="208"/>
      <c r="W50" s="208"/>
      <c r="X50" s="208"/>
      <c r="Y50" s="173" t="b">
        <f t="shared" si="11"/>
        <v>1</v>
      </c>
      <c r="Z50" s="188">
        <f t="shared" si="12"/>
        <v>0.5</v>
      </c>
      <c r="AA50" s="189" t="b">
        <f t="shared" si="13"/>
        <v>1</v>
      </c>
      <c r="AB50" s="189" t="b">
        <f t="shared" si="14"/>
        <v>1</v>
      </c>
    </row>
    <row r="51" spans="1:28" ht="43.5" customHeight="1" x14ac:dyDescent="0.2">
      <c r="A51" s="209">
        <v>49</v>
      </c>
      <c r="B51" s="201" t="s">
        <v>363</v>
      </c>
      <c r="C51" s="209" t="s">
        <v>56</v>
      </c>
      <c r="D51" s="209" t="s">
        <v>104</v>
      </c>
      <c r="E51" s="210" t="s">
        <v>157</v>
      </c>
      <c r="F51" s="209" t="s">
        <v>142</v>
      </c>
      <c r="G51" s="209" t="s">
        <v>364</v>
      </c>
      <c r="H51" s="209" t="s">
        <v>70</v>
      </c>
      <c r="I51" s="173">
        <v>0.36299999999999999</v>
      </c>
      <c r="J51" s="203" t="s">
        <v>365</v>
      </c>
      <c r="K51" s="208">
        <v>4515557</v>
      </c>
      <c r="L51" s="208">
        <f t="shared" si="19"/>
        <v>2257778</v>
      </c>
      <c r="M51" s="208">
        <f t="shared" si="20"/>
        <v>2257779</v>
      </c>
      <c r="N51" s="246">
        <v>0.5</v>
      </c>
      <c r="O51" s="208">
        <v>0</v>
      </c>
      <c r="P51" s="208">
        <v>0</v>
      </c>
      <c r="Q51" s="208">
        <v>0</v>
      </c>
      <c r="R51" s="208">
        <f>L51</f>
        <v>2257778</v>
      </c>
      <c r="S51" s="208"/>
      <c r="T51" s="208"/>
      <c r="U51" s="208"/>
      <c r="V51" s="208"/>
      <c r="W51" s="208"/>
      <c r="X51" s="208"/>
      <c r="Y51" s="173" t="b">
        <f t="shared" si="11"/>
        <v>1</v>
      </c>
      <c r="Z51" s="188">
        <f t="shared" si="12"/>
        <v>0.5</v>
      </c>
      <c r="AA51" s="189" t="b">
        <f t="shared" si="13"/>
        <v>1</v>
      </c>
      <c r="AB51" s="189" t="b">
        <f t="shared" si="14"/>
        <v>1</v>
      </c>
    </row>
    <row r="52" spans="1:28" ht="34.5" customHeight="1" x14ac:dyDescent="0.2">
      <c r="A52" s="201">
        <v>50</v>
      </c>
      <c r="B52" s="201" t="s">
        <v>371</v>
      </c>
      <c r="C52" s="201" t="s">
        <v>56</v>
      </c>
      <c r="D52" s="201" t="s">
        <v>102</v>
      </c>
      <c r="E52" s="202" t="s">
        <v>154</v>
      </c>
      <c r="F52" s="201" t="s">
        <v>61</v>
      </c>
      <c r="G52" s="201" t="s">
        <v>372</v>
      </c>
      <c r="H52" s="201" t="s">
        <v>71</v>
      </c>
      <c r="I52" s="203">
        <v>0.16300000000000001</v>
      </c>
      <c r="J52" s="201" t="s">
        <v>373</v>
      </c>
      <c r="K52" s="208">
        <v>224702</v>
      </c>
      <c r="L52" s="208">
        <f t="shared" si="19"/>
        <v>157291</v>
      </c>
      <c r="M52" s="208">
        <f t="shared" si="20"/>
        <v>67411</v>
      </c>
      <c r="N52" s="244">
        <v>0.7</v>
      </c>
      <c r="O52" s="208">
        <v>0</v>
      </c>
      <c r="P52" s="208">
        <v>0</v>
      </c>
      <c r="Q52" s="208">
        <v>0</v>
      </c>
      <c r="R52" s="208">
        <f>L52</f>
        <v>157291</v>
      </c>
      <c r="S52" s="208"/>
      <c r="T52" s="208"/>
      <c r="U52" s="208"/>
      <c r="V52" s="208"/>
      <c r="W52" s="208"/>
      <c r="X52" s="208"/>
      <c r="Y52" s="173" t="b">
        <f>L52=SUM(O52:X52)</f>
        <v>1</v>
      </c>
      <c r="Z52" s="188">
        <f t="shared" si="12"/>
        <v>0.7</v>
      </c>
      <c r="AA52" s="189" t="b">
        <f t="shared" si="13"/>
        <v>1</v>
      </c>
      <c r="AB52" s="189" t="b">
        <f t="shared" si="14"/>
        <v>1</v>
      </c>
    </row>
    <row r="53" spans="1:28" ht="34.5" customHeight="1" x14ac:dyDescent="0.2">
      <c r="A53" s="180" t="s">
        <v>519</v>
      </c>
      <c r="B53" s="180" t="s">
        <v>430</v>
      </c>
      <c r="C53" s="180" t="s">
        <v>73</v>
      </c>
      <c r="D53" s="180" t="s">
        <v>207</v>
      </c>
      <c r="E53" s="195" t="s">
        <v>136</v>
      </c>
      <c r="F53" s="180" t="s">
        <v>64</v>
      </c>
      <c r="G53" s="180" t="s">
        <v>431</v>
      </c>
      <c r="H53" s="180" t="s">
        <v>69</v>
      </c>
      <c r="I53" s="183">
        <v>1.0469999999999999</v>
      </c>
      <c r="J53" s="180" t="s">
        <v>432</v>
      </c>
      <c r="K53" s="235">
        <v>10979854</v>
      </c>
      <c r="L53" s="235">
        <v>2801867</v>
      </c>
      <c r="M53" s="235">
        <f t="shared" ref="M53:M54" si="42">K53-L53</f>
        <v>8177987</v>
      </c>
      <c r="N53" s="237">
        <v>0.5</v>
      </c>
      <c r="O53" s="235">
        <v>0</v>
      </c>
      <c r="P53" s="235">
        <v>0</v>
      </c>
      <c r="Q53" s="235">
        <v>0</v>
      </c>
      <c r="R53" s="235">
        <v>2801867</v>
      </c>
      <c r="S53" s="235">
        <v>0</v>
      </c>
      <c r="T53" s="235"/>
      <c r="U53" s="235"/>
      <c r="V53" s="235"/>
      <c r="W53" s="235"/>
      <c r="X53" s="235"/>
      <c r="Y53" s="173" t="b">
        <f>L53=SUM(O53:X53)</f>
        <v>1</v>
      </c>
      <c r="Z53" s="188">
        <f t="shared" si="12"/>
        <v>0.25519999999999998</v>
      </c>
      <c r="AA53" s="189" t="b">
        <f t="shared" si="13"/>
        <v>0</v>
      </c>
      <c r="AB53" s="189" t="b">
        <f t="shared" si="14"/>
        <v>1</v>
      </c>
    </row>
    <row r="54" spans="1:28" ht="40.5" customHeight="1" x14ac:dyDescent="0.2">
      <c r="A54" s="200" t="s">
        <v>427</v>
      </c>
      <c r="B54" s="201" t="s">
        <v>435</v>
      </c>
      <c r="C54" s="201" t="s">
        <v>56</v>
      </c>
      <c r="D54" s="201" t="s">
        <v>81</v>
      </c>
      <c r="E54" s="202" t="s">
        <v>130</v>
      </c>
      <c r="F54" s="201" t="s">
        <v>66</v>
      </c>
      <c r="G54" s="201" t="s">
        <v>436</v>
      </c>
      <c r="H54" s="201" t="s">
        <v>69</v>
      </c>
      <c r="I54" s="203">
        <v>0.91600000000000004</v>
      </c>
      <c r="J54" s="201" t="s">
        <v>305</v>
      </c>
      <c r="K54" s="239">
        <v>4634663</v>
      </c>
      <c r="L54" s="239">
        <v>2808494</v>
      </c>
      <c r="M54" s="239">
        <f t="shared" si="42"/>
        <v>1826169</v>
      </c>
      <c r="N54" s="240">
        <v>0.8</v>
      </c>
      <c r="O54" s="208">
        <v>0</v>
      </c>
      <c r="P54" s="208">
        <v>0</v>
      </c>
      <c r="Q54" s="208">
        <v>0</v>
      </c>
      <c r="R54" s="208">
        <v>2808494</v>
      </c>
      <c r="S54" s="208"/>
      <c r="T54" s="208"/>
      <c r="U54" s="208"/>
      <c r="V54" s="208"/>
      <c r="W54" s="208"/>
      <c r="X54" s="208"/>
      <c r="Y54" s="173" t="b">
        <f>L54=SUM(O54:X54)</f>
        <v>1</v>
      </c>
      <c r="Z54" s="188">
        <f t="shared" si="12"/>
        <v>0.60599999999999998</v>
      </c>
      <c r="AA54" s="189" t="b">
        <f t="shared" si="13"/>
        <v>0</v>
      </c>
      <c r="AB54" s="189" t="b">
        <f t="shared" si="14"/>
        <v>1</v>
      </c>
    </row>
    <row r="55" spans="1:28" ht="30" customHeight="1" x14ac:dyDescent="0.2">
      <c r="A55" s="250" t="s">
        <v>42</v>
      </c>
      <c r="B55" s="251"/>
      <c r="C55" s="251"/>
      <c r="D55" s="251"/>
      <c r="E55" s="251"/>
      <c r="F55" s="251"/>
      <c r="G55" s="251"/>
      <c r="H55" s="252"/>
      <c r="I55" s="213">
        <f>SUM(I3:I54)</f>
        <v>41.090999999999994</v>
      </c>
      <c r="J55" s="214" t="s">
        <v>13</v>
      </c>
      <c r="K55" s="215">
        <f>SUM(K3:K54)</f>
        <v>188439007</v>
      </c>
      <c r="L55" s="217">
        <f>SUM(L3:L54)</f>
        <v>89775025</v>
      </c>
      <c r="M55" s="217">
        <f>SUM(M3:M54)</f>
        <v>98663982</v>
      </c>
      <c r="N55" s="216" t="s">
        <v>13</v>
      </c>
      <c r="O55" s="217">
        <f t="shared" ref="O55:X55" si="43">SUM(O3:O54)</f>
        <v>0</v>
      </c>
      <c r="P55" s="217">
        <f t="shared" si="43"/>
        <v>3500608</v>
      </c>
      <c r="Q55" s="218">
        <f t="shared" si="43"/>
        <v>11121867</v>
      </c>
      <c r="R55" s="218">
        <f t="shared" si="43"/>
        <v>40954714</v>
      </c>
      <c r="S55" s="218">
        <f t="shared" si="43"/>
        <v>22791731</v>
      </c>
      <c r="T55" s="218">
        <f t="shared" si="43"/>
        <v>7066173</v>
      </c>
      <c r="U55" s="218">
        <f t="shared" si="43"/>
        <v>2148961</v>
      </c>
      <c r="V55" s="218">
        <f t="shared" si="43"/>
        <v>2190971</v>
      </c>
      <c r="W55" s="218">
        <f t="shared" si="43"/>
        <v>0</v>
      </c>
      <c r="X55" s="218">
        <f t="shared" si="43"/>
        <v>0</v>
      </c>
      <c r="Y55" s="173" t="b">
        <f t="shared" si="11"/>
        <v>1</v>
      </c>
      <c r="Z55" s="188"/>
      <c r="AA55" s="189"/>
      <c r="AB55" s="189" t="b">
        <f t="shared" si="14"/>
        <v>1</v>
      </c>
    </row>
    <row r="56" spans="1:28" ht="30" customHeight="1" x14ac:dyDescent="0.2">
      <c r="A56" s="253" t="s">
        <v>35</v>
      </c>
      <c r="B56" s="254"/>
      <c r="C56" s="254"/>
      <c r="D56" s="254"/>
      <c r="E56" s="254"/>
      <c r="F56" s="254"/>
      <c r="G56" s="254"/>
      <c r="H56" s="255"/>
      <c r="I56" s="220">
        <f>SUMIF($C$3:$C$54,"K",I3:I54)</f>
        <v>19.596</v>
      </c>
      <c r="J56" s="221" t="s">
        <v>13</v>
      </c>
      <c r="K56" s="222">
        <f>SUMIF($C$3:$C$54,"K",K3:K54)</f>
        <v>82332850</v>
      </c>
      <c r="L56" s="224">
        <f>SUMIF($C$3:$C$54,"K",L3:L54)</f>
        <v>39856773</v>
      </c>
      <c r="M56" s="224">
        <f>SUMIF($C$3:$C$54,"K",M3:M54)</f>
        <v>42476077</v>
      </c>
      <c r="N56" s="223" t="s">
        <v>13</v>
      </c>
      <c r="O56" s="224">
        <f t="shared" ref="O56:X56" si="44">SUMIF($C$3:$C$54,"K",O3:O54)</f>
        <v>0</v>
      </c>
      <c r="P56" s="224">
        <f t="shared" si="44"/>
        <v>3500608</v>
      </c>
      <c r="Q56" s="256">
        <f t="shared" si="44"/>
        <v>11121867</v>
      </c>
      <c r="R56" s="256">
        <f t="shared" si="44"/>
        <v>15539295</v>
      </c>
      <c r="S56" s="256">
        <f t="shared" si="44"/>
        <v>2084756</v>
      </c>
      <c r="T56" s="256">
        <f t="shared" si="44"/>
        <v>3709852</v>
      </c>
      <c r="U56" s="256">
        <f t="shared" si="44"/>
        <v>1709424</v>
      </c>
      <c r="V56" s="256">
        <f t="shared" si="44"/>
        <v>2190971</v>
      </c>
      <c r="W56" s="256">
        <f t="shared" si="44"/>
        <v>0</v>
      </c>
      <c r="X56" s="256">
        <f t="shared" si="44"/>
        <v>0</v>
      </c>
      <c r="Y56" s="173" t="b">
        <f t="shared" si="11"/>
        <v>1</v>
      </c>
      <c r="Z56" s="188"/>
      <c r="AA56" s="189"/>
      <c r="AB56" s="189" t="b">
        <f t="shared" si="14"/>
        <v>1</v>
      </c>
    </row>
    <row r="57" spans="1:28" ht="20.100000000000001" customHeight="1" x14ac:dyDescent="0.2">
      <c r="A57" s="250" t="s">
        <v>36</v>
      </c>
      <c r="B57" s="251"/>
      <c r="C57" s="251"/>
      <c r="D57" s="251"/>
      <c r="E57" s="251"/>
      <c r="F57" s="251"/>
      <c r="G57" s="251"/>
      <c r="H57" s="252"/>
      <c r="I57" s="213">
        <f>SUMIF($C$3:$C$54,"N",I3:I54)</f>
        <v>8.9809999999999999</v>
      </c>
      <c r="J57" s="214" t="s">
        <v>13</v>
      </c>
      <c r="K57" s="215">
        <f>SUMIF($C$3:$C$54,"N",K3:K54)</f>
        <v>25988720</v>
      </c>
      <c r="L57" s="217">
        <f>SUMIF($C$3:$C$54,"N",L3:L54)</f>
        <v>15035219</v>
      </c>
      <c r="M57" s="217">
        <f>SUMIF($C$3:$C$54,"N",M3:M54)</f>
        <v>10953501</v>
      </c>
      <c r="N57" s="216" t="s">
        <v>13</v>
      </c>
      <c r="O57" s="217">
        <f t="shared" ref="O57:X57" si="45">SUMIF($C$3:$C$54,"N",O3:O54)</f>
        <v>0</v>
      </c>
      <c r="P57" s="217">
        <f t="shared" si="45"/>
        <v>0</v>
      </c>
      <c r="Q57" s="218">
        <f t="shared" si="45"/>
        <v>0</v>
      </c>
      <c r="R57" s="218">
        <f t="shared" si="45"/>
        <v>15035219</v>
      </c>
      <c r="S57" s="218">
        <f t="shared" si="45"/>
        <v>0</v>
      </c>
      <c r="T57" s="218">
        <f t="shared" si="45"/>
        <v>0</v>
      </c>
      <c r="U57" s="218">
        <f t="shared" si="45"/>
        <v>0</v>
      </c>
      <c r="V57" s="218">
        <f t="shared" si="45"/>
        <v>0</v>
      </c>
      <c r="W57" s="218">
        <f t="shared" si="45"/>
        <v>0</v>
      </c>
      <c r="X57" s="218">
        <f t="shared" si="45"/>
        <v>0</v>
      </c>
      <c r="Y57" s="173" t="b">
        <f t="shared" si="11"/>
        <v>1</v>
      </c>
      <c r="Z57" s="188"/>
      <c r="AA57" s="189"/>
      <c r="AB57" s="189" t="b">
        <f t="shared" si="14"/>
        <v>1</v>
      </c>
    </row>
    <row r="58" spans="1:28" ht="20.100000000000001" customHeight="1" x14ac:dyDescent="0.2">
      <c r="A58" s="253" t="s">
        <v>37</v>
      </c>
      <c r="B58" s="254"/>
      <c r="C58" s="254"/>
      <c r="D58" s="254"/>
      <c r="E58" s="254"/>
      <c r="F58" s="254"/>
      <c r="G58" s="254"/>
      <c r="H58" s="255"/>
      <c r="I58" s="220">
        <f>SUMIF($C$3:$C$54,"W",I3:I54)</f>
        <v>12.514000000000001</v>
      </c>
      <c r="J58" s="221" t="s">
        <v>13</v>
      </c>
      <c r="K58" s="222">
        <f>SUMIF($C$3:$C$54,"W",K3:K54)</f>
        <v>80117437</v>
      </c>
      <c r="L58" s="224">
        <f>SUMIF($C$3:$C$54,"W",L3:L54)</f>
        <v>34883033</v>
      </c>
      <c r="M58" s="224">
        <f>SUMIF($C$3:$C$54,"W",M3:M54)</f>
        <v>45234404</v>
      </c>
      <c r="N58" s="223" t="s">
        <v>13</v>
      </c>
      <c r="O58" s="224">
        <f t="shared" ref="O58:X58" si="46">SUMIF($C$3:$C$54,"W",O3:O54)</f>
        <v>0</v>
      </c>
      <c r="P58" s="224">
        <f t="shared" si="46"/>
        <v>0</v>
      </c>
      <c r="Q58" s="256">
        <f t="shared" si="46"/>
        <v>0</v>
      </c>
      <c r="R58" s="256">
        <f t="shared" si="46"/>
        <v>10380200</v>
      </c>
      <c r="S58" s="256">
        <f t="shared" si="46"/>
        <v>20706975</v>
      </c>
      <c r="T58" s="256">
        <f t="shared" si="46"/>
        <v>3356321</v>
      </c>
      <c r="U58" s="256">
        <f t="shared" si="46"/>
        <v>439537</v>
      </c>
      <c r="V58" s="256">
        <f t="shared" si="46"/>
        <v>0</v>
      </c>
      <c r="W58" s="256">
        <f t="shared" si="46"/>
        <v>0</v>
      </c>
      <c r="X58" s="256">
        <f t="shared" si="46"/>
        <v>0</v>
      </c>
      <c r="Y58" s="173" t="b">
        <f t="shared" si="11"/>
        <v>1</v>
      </c>
      <c r="Z58" s="188"/>
      <c r="AA58" s="189"/>
      <c r="AB58" s="189" t="b">
        <f t="shared" si="14"/>
        <v>1</v>
      </c>
    </row>
    <row r="59" spans="1:28" ht="20.100000000000001" customHeight="1" x14ac:dyDescent="0.2">
      <c r="A59" s="268"/>
      <c r="K59" s="269"/>
      <c r="Y59" s="173"/>
      <c r="Z59" s="188"/>
      <c r="AA59" s="189"/>
      <c r="AB59" s="189"/>
    </row>
    <row r="60" spans="1:28" ht="20.100000000000001" customHeight="1" x14ac:dyDescent="0.2">
      <c r="A60" s="264" t="s">
        <v>22</v>
      </c>
      <c r="Y60" s="173"/>
      <c r="Z60" s="188"/>
      <c r="AA60" s="189"/>
      <c r="AB60" s="189"/>
    </row>
    <row r="61" spans="1:28" x14ac:dyDescent="0.2">
      <c r="A61" s="265" t="s">
        <v>23</v>
      </c>
    </row>
    <row r="62" spans="1:28" x14ac:dyDescent="0.2">
      <c r="A62" s="264" t="s">
        <v>40</v>
      </c>
    </row>
    <row r="63" spans="1:28" x14ac:dyDescent="0.2">
      <c r="A63" s="272" t="s">
        <v>26</v>
      </c>
    </row>
  </sheetData>
  <sortState ref="A22:X99">
    <sortCondition descending="1" ref="X22:X99"/>
  </sortState>
  <mergeCells count="19">
    <mergeCell ref="O1:X1"/>
    <mergeCell ref="L1:L2"/>
    <mergeCell ref="M1:M2"/>
    <mergeCell ref="A55:H55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  <mergeCell ref="A58:H58"/>
    <mergeCell ref="A57:H57"/>
    <mergeCell ref="E1:E2"/>
    <mergeCell ref="A56:H56"/>
    <mergeCell ref="N1:N2"/>
  </mergeCells>
  <conditionalFormatting sqref="Y3:AB58">
    <cfRule type="cellIs" dxfId="33" priority="15" operator="equal">
      <formula>FALSE</formula>
    </cfRule>
  </conditionalFormatting>
  <conditionalFormatting sqref="Y3:AA58">
    <cfRule type="containsText" dxfId="32" priority="13" operator="containsText" text="fałsz">
      <formula>NOT(ISERROR(SEARCH("fałsz",Y3)))</formula>
    </cfRule>
  </conditionalFormatting>
  <conditionalFormatting sqref="Z60:AA60">
    <cfRule type="cellIs" dxfId="31" priority="10" operator="equal">
      <formula>FALSE</formula>
    </cfRule>
  </conditionalFormatting>
  <conditionalFormatting sqref="Y60:AA60">
    <cfRule type="containsText" dxfId="30" priority="8" operator="containsText" text="fałsz">
      <formula>NOT(ISERROR(SEARCH("fałsz",Y60)))</formula>
    </cfRule>
  </conditionalFormatting>
  <conditionalFormatting sqref="Y60">
    <cfRule type="cellIs" dxfId="29" priority="9" operator="equal">
      <formula>FALSE</formula>
    </cfRule>
  </conditionalFormatting>
  <conditionalFormatting sqref="AB60">
    <cfRule type="cellIs" dxfId="28" priority="7" operator="equal">
      <formula>FALSE</formula>
    </cfRule>
  </conditionalFormatting>
  <conditionalFormatting sqref="AB60">
    <cfRule type="cellIs" dxfId="27" priority="6" operator="equal">
      <formula>FALSE</formula>
    </cfRule>
  </conditionalFormatting>
  <conditionalFormatting sqref="Z59:AA59">
    <cfRule type="cellIs" dxfId="26" priority="5" operator="equal">
      <formula>FALSE</formula>
    </cfRule>
  </conditionalFormatting>
  <conditionalFormatting sqref="Y59">
    <cfRule type="cellIs" dxfId="25" priority="4" operator="equal">
      <formula>FALSE</formula>
    </cfRule>
  </conditionalFormatting>
  <conditionalFormatting sqref="Y59:AA59">
    <cfRule type="containsText" dxfId="24" priority="3" operator="containsText" text="fałsz">
      <formula>NOT(ISERROR(SEARCH("fałsz",Y59)))</formula>
    </cfRule>
  </conditionalFormatting>
  <conditionalFormatting sqref="AB59">
    <cfRule type="cellIs" dxfId="23" priority="2" operator="equal">
      <formula>FALSE</formula>
    </cfRule>
  </conditionalFormatting>
  <conditionalFormatting sqref="AB59">
    <cfRule type="cellIs" dxfId="22" priority="1" operator="equal">
      <formula>FALSE</formula>
    </cfRule>
  </conditionalFormatting>
  <dataValidations count="2">
    <dataValidation type="list" allowBlank="1" showInputMessage="1" showErrorMessage="1" sqref="H3:H54">
      <formula1>"B,P,R"</formula1>
    </dataValidation>
    <dataValidation type="list" allowBlank="1" showInputMessage="1" showErrorMessage="1" sqref="C3:C54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headerFooter>
    <oddHeader>&amp;LWojewództwo &amp;K000000Lubuskie&amp;K01+000 -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showGridLines="0" view="pageBreakPreview" zoomScale="85" zoomScaleNormal="78" zoomScaleSheetLayoutView="85" workbookViewId="0">
      <selection sqref="A1:A2"/>
    </sheetView>
  </sheetViews>
  <sheetFormatPr defaultRowHeight="12" x14ac:dyDescent="0.25"/>
  <cols>
    <col min="1" max="1" width="5" style="225" customWidth="1"/>
    <col min="2" max="2" width="12" style="225" customWidth="1"/>
    <col min="3" max="3" width="24" style="225" customWidth="1"/>
    <col min="4" max="4" width="12.5703125" style="225" customWidth="1"/>
    <col min="5" max="5" width="10.7109375" style="225" customWidth="1"/>
    <col min="6" max="6" width="38.7109375" style="225" customWidth="1"/>
    <col min="7" max="7" width="8.7109375" style="225" customWidth="1"/>
    <col min="8" max="9" width="15.85546875" style="225" customWidth="1"/>
    <col min="10" max="10" width="13.28515625" style="263" customWidth="1"/>
    <col min="11" max="11" width="14.28515625" style="225" customWidth="1"/>
    <col min="12" max="12" width="13.5703125" style="225" customWidth="1"/>
    <col min="13" max="13" width="12.85546875" style="173" customWidth="1"/>
    <col min="14" max="14" width="9.85546875" style="225" customWidth="1"/>
    <col min="15" max="15" width="12.28515625" style="225" customWidth="1"/>
    <col min="16" max="16" width="13.28515625" style="225" customWidth="1"/>
    <col min="17" max="17" width="13.42578125" style="225" customWidth="1"/>
    <col min="18" max="18" width="13" style="225" customWidth="1"/>
    <col min="19" max="19" width="12.140625" style="225" customWidth="1"/>
    <col min="20" max="20" width="12.5703125" style="225" customWidth="1"/>
    <col min="21" max="23" width="9.85546875" style="225" customWidth="1"/>
    <col min="24" max="27" width="15.7109375" style="225" customWidth="1"/>
    <col min="28" max="16384" width="9.140625" style="225"/>
  </cols>
  <sheetData>
    <row r="1" spans="1:28" ht="20.100000000000001" customHeight="1" x14ac:dyDescent="0.25">
      <c r="A1" s="169" t="s">
        <v>174</v>
      </c>
      <c r="B1" s="169" t="s">
        <v>4</v>
      </c>
      <c r="C1" s="170" t="s">
        <v>175</v>
      </c>
      <c r="D1" s="171" t="s">
        <v>5</v>
      </c>
      <c r="E1" s="170" t="s">
        <v>31</v>
      </c>
      <c r="F1" s="171" t="s">
        <v>6</v>
      </c>
      <c r="G1" s="169" t="s">
        <v>24</v>
      </c>
      <c r="H1" s="169" t="s">
        <v>173</v>
      </c>
      <c r="I1" s="169" t="s">
        <v>21</v>
      </c>
      <c r="J1" s="172" t="s">
        <v>8</v>
      </c>
      <c r="K1" s="169" t="s">
        <v>9</v>
      </c>
      <c r="L1" s="171" t="s">
        <v>12</v>
      </c>
      <c r="M1" s="169" t="s">
        <v>10</v>
      </c>
      <c r="N1" s="169" t="s">
        <v>11</v>
      </c>
      <c r="O1" s="169"/>
      <c r="P1" s="169"/>
      <c r="Q1" s="169"/>
      <c r="R1" s="169"/>
      <c r="S1" s="169"/>
      <c r="T1" s="169"/>
      <c r="U1" s="169"/>
      <c r="V1" s="169"/>
      <c r="W1" s="169"/>
    </row>
    <row r="2" spans="1:28" ht="42" customHeight="1" x14ac:dyDescent="0.25">
      <c r="A2" s="169"/>
      <c r="B2" s="169"/>
      <c r="C2" s="175"/>
      <c r="D2" s="176"/>
      <c r="E2" s="175"/>
      <c r="F2" s="176"/>
      <c r="G2" s="169"/>
      <c r="H2" s="169"/>
      <c r="I2" s="169"/>
      <c r="J2" s="172"/>
      <c r="K2" s="169"/>
      <c r="L2" s="176"/>
      <c r="M2" s="169"/>
      <c r="N2" s="177">
        <v>2019</v>
      </c>
      <c r="O2" s="177">
        <v>2020</v>
      </c>
      <c r="P2" s="177">
        <v>2021</v>
      </c>
      <c r="Q2" s="177">
        <v>2022</v>
      </c>
      <c r="R2" s="177">
        <v>2023</v>
      </c>
      <c r="S2" s="177">
        <v>2024</v>
      </c>
      <c r="T2" s="177">
        <v>2025</v>
      </c>
      <c r="U2" s="177">
        <v>2026</v>
      </c>
      <c r="V2" s="177">
        <v>2027</v>
      </c>
      <c r="W2" s="177">
        <v>2028</v>
      </c>
      <c r="X2" s="173" t="s">
        <v>27</v>
      </c>
      <c r="Y2" s="173" t="s">
        <v>28</v>
      </c>
      <c r="Z2" s="173" t="s">
        <v>29</v>
      </c>
      <c r="AA2" s="178" t="s">
        <v>30</v>
      </c>
    </row>
    <row r="3" spans="1:28" ht="37.5" customHeight="1" x14ac:dyDescent="0.25">
      <c r="A3" s="200">
        <v>1</v>
      </c>
      <c r="B3" s="201" t="s">
        <v>295</v>
      </c>
      <c r="C3" s="201" t="s">
        <v>56</v>
      </c>
      <c r="D3" s="201" t="s">
        <v>60</v>
      </c>
      <c r="E3" s="202" t="s">
        <v>245</v>
      </c>
      <c r="F3" s="201" t="s">
        <v>296</v>
      </c>
      <c r="G3" s="201" t="s">
        <v>70</v>
      </c>
      <c r="H3" s="203">
        <v>1.514</v>
      </c>
      <c r="I3" s="201" t="s">
        <v>297</v>
      </c>
      <c r="J3" s="204">
        <v>4008214</v>
      </c>
      <c r="K3" s="204">
        <f t="shared" ref="K3:K11" si="0">ROUNDDOWN(J3*M3,0)</f>
        <v>2004107</v>
      </c>
      <c r="L3" s="204">
        <f t="shared" ref="L3:L11" si="1">J3-K3</f>
        <v>2004107</v>
      </c>
      <c r="M3" s="205">
        <v>0.5</v>
      </c>
      <c r="N3" s="206">
        <v>0</v>
      </c>
      <c r="O3" s="206">
        <v>0</v>
      </c>
      <c r="P3" s="207">
        <v>0</v>
      </c>
      <c r="Q3" s="207">
        <f>K3</f>
        <v>2004107</v>
      </c>
      <c r="R3" s="207"/>
      <c r="S3" s="207"/>
      <c r="T3" s="207"/>
      <c r="U3" s="207"/>
      <c r="V3" s="207"/>
      <c r="W3" s="207"/>
      <c r="X3" s="173" t="b">
        <f t="shared" ref="X3" si="2">K3=SUM(N3:W3)</f>
        <v>1</v>
      </c>
      <c r="Y3" s="188">
        <f t="shared" ref="Y3" si="3">ROUND(K3/J3,4)</f>
        <v>0.5</v>
      </c>
      <c r="Z3" s="189" t="b">
        <f t="shared" ref="Z3" si="4">Y3=M3</f>
        <v>1</v>
      </c>
      <c r="AA3" s="189" t="b">
        <f t="shared" ref="AA3" si="5">J3=K3+L3</f>
        <v>1</v>
      </c>
    </row>
    <row r="4" spans="1:28" ht="42" customHeight="1" x14ac:dyDescent="0.25">
      <c r="A4" s="200">
        <v>2</v>
      </c>
      <c r="B4" s="201" t="s">
        <v>302</v>
      </c>
      <c r="C4" s="201" t="s">
        <v>56</v>
      </c>
      <c r="D4" s="209" t="s">
        <v>132</v>
      </c>
      <c r="E4" s="210" t="s">
        <v>303</v>
      </c>
      <c r="F4" s="209" t="s">
        <v>304</v>
      </c>
      <c r="G4" s="209" t="s">
        <v>70</v>
      </c>
      <c r="H4" s="211">
        <v>2.2549999999999999</v>
      </c>
      <c r="I4" s="209" t="s">
        <v>305</v>
      </c>
      <c r="J4" s="204">
        <v>1672983</v>
      </c>
      <c r="K4" s="204">
        <f t="shared" si="0"/>
        <v>836491</v>
      </c>
      <c r="L4" s="204">
        <f t="shared" si="1"/>
        <v>836492</v>
      </c>
      <c r="M4" s="205">
        <v>0.5</v>
      </c>
      <c r="N4" s="206">
        <v>0</v>
      </c>
      <c r="O4" s="206">
        <v>0</v>
      </c>
      <c r="P4" s="207">
        <v>0</v>
      </c>
      <c r="Q4" s="207">
        <f>K4</f>
        <v>836491</v>
      </c>
      <c r="R4" s="207"/>
      <c r="S4" s="207"/>
      <c r="T4" s="207"/>
      <c r="U4" s="207"/>
      <c r="V4" s="207"/>
      <c r="W4" s="207"/>
      <c r="X4" s="173" t="b">
        <f t="shared" ref="X4:X13" si="6">K4=SUM(N4:W4)</f>
        <v>1</v>
      </c>
      <c r="Y4" s="188">
        <f t="shared" ref="Y4:Y13" si="7">ROUND(K4/J4,4)</f>
        <v>0.5</v>
      </c>
      <c r="Z4" s="189" t="b">
        <f t="shared" ref="Z4:Z13" si="8">Y4=M4</f>
        <v>1</v>
      </c>
      <c r="AA4" s="189" t="b">
        <f t="shared" ref="AA4:AA13" si="9">J4=K4+L4</f>
        <v>1</v>
      </c>
    </row>
    <row r="5" spans="1:28" ht="42" customHeight="1" x14ac:dyDescent="0.25">
      <c r="A5" s="200">
        <v>3</v>
      </c>
      <c r="B5" s="201" t="s">
        <v>306</v>
      </c>
      <c r="C5" s="201" t="s">
        <v>56</v>
      </c>
      <c r="D5" s="201" t="s">
        <v>60</v>
      </c>
      <c r="E5" s="202" t="s">
        <v>245</v>
      </c>
      <c r="F5" s="201" t="s">
        <v>307</v>
      </c>
      <c r="G5" s="201" t="s">
        <v>70</v>
      </c>
      <c r="H5" s="203">
        <v>0.84</v>
      </c>
      <c r="I5" s="201" t="s">
        <v>267</v>
      </c>
      <c r="J5" s="204">
        <v>5681761</v>
      </c>
      <c r="K5" s="204">
        <f t="shared" si="0"/>
        <v>2840880</v>
      </c>
      <c r="L5" s="204">
        <f t="shared" si="1"/>
        <v>2840881</v>
      </c>
      <c r="M5" s="205">
        <v>0.5</v>
      </c>
      <c r="N5" s="206">
        <v>0</v>
      </c>
      <c r="O5" s="206">
        <v>0</v>
      </c>
      <c r="P5" s="207">
        <v>0</v>
      </c>
      <c r="Q5" s="207">
        <f>K5</f>
        <v>2840880</v>
      </c>
      <c r="R5" s="207"/>
      <c r="S5" s="207"/>
      <c r="T5" s="207"/>
      <c r="U5" s="207"/>
      <c r="V5" s="207"/>
      <c r="W5" s="207"/>
      <c r="X5" s="173" t="b">
        <f t="shared" si="6"/>
        <v>1</v>
      </c>
      <c r="Y5" s="188">
        <f t="shared" si="7"/>
        <v>0.5</v>
      </c>
      <c r="Z5" s="189" t="b">
        <f t="shared" si="8"/>
        <v>1</v>
      </c>
      <c r="AA5" s="189" t="b">
        <f t="shared" si="9"/>
        <v>1</v>
      </c>
    </row>
    <row r="6" spans="1:28" ht="42" customHeight="1" x14ac:dyDescent="0.25">
      <c r="A6" s="199">
        <v>4</v>
      </c>
      <c r="B6" s="180" t="s">
        <v>308</v>
      </c>
      <c r="C6" s="180" t="s">
        <v>73</v>
      </c>
      <c r="D6" s="180" t="s">
        <v>65</v>
      </c>
      <c r="E6" s="195" t="s">
        <v>250</v>
      </c>
      <c r="F6" s="180" t="s">
        <v>309</v>
      </c>
      <c r="G6" s="180" t="s">
        <v>70</v>
      </c>
      <c r="H6" s="183">
        <v>2.2629999999999999</v>
      </c>
      <c r="I6" s="180" t="s">
        <v>274</v>
      </c>
      <c r="J6" s="190">
        <v>9300980</v>
      </c>
      <c r="K6" s="190">
        <f t="shared" si="0"/>
        <v>4650490</v>
      </c>
      <c r="L6" s="190">
        <f t="shared" si="1"/>
        <v>4650490</v>
      </c>
      <c r="M6" s="187">
        <v>0.5</v>
      </c>
      <c r="N6" s="185">
        <v>0</v>
      </c>
      <c r="O6" s="185">
        <v>0</v>
      </c>
      <c r="P6" s="186">
        <v>0</v>
      </c>
      <c r="Q6" s="186">
        <v>2991656</v>
      </c>
      <c r="R6" s="186">
        <v>1658834</v>
      </c>
      <c r="S6" s="186"/>
      <c r="T6" s="186"/>
      <c r="U6" s="186"/>
      <c r="V6" s="186"/>
      <c r="W6" s="186"/>
      <c r="X6" s="173" t="b">
        <f t="shared" si="6"/>
        <v>1</v>
      </c>
      <c r="Y6" s="188">
        <f t="shared" si="7"/>
        <v>0.5</v>
      </c>
      <c r="Z6" s="189" t="b">
        <f t="shared" si="8"/>
        <v>1</v>
      </c>
      <c r="AA6" s="189" t="b">
        <f t="shared" si="9"/>
        <v>1</v>
      </c>
    </row>
    <row r="7" spans="1:28" ht="42" customHeight="1" x14ac:dyDescent="0.25">
      <c r="A7" s="200">
        <v>5</v>
      </c>
      <c r="B7" s="201" t="s">
        <v>310</v>
      </c>
      <c r="C7" s="201" t="s">
        <v>56</v>
      </c>
      <c r="D7" s="201" t="s">
        <v>132</v>
      </c>
      <c r="E7" s="202" t="s">
        <v>303</v>
      </c>
      <c r="F7" s="257" t="s">
        <v>311</v>
      </c>
      <c r="G7" s="201" t="s">
        <v>70</v>
      </c>
      <c r="H7" s="203">
        <v>0.84299999999999997</v>
      </c>
      <c r="I7" s="201" t="s">
        <v>312</v>
      </c>
      <c r="J7" s="239">
        <v>1716298</v>
      </c>
      <c r="K7" s="204">
        <f t="shared" si="0"/>
        <v>858149</v>
      </c>
      <c r="L7" s="204">
        <f t="shared" si="1"/>
        <v>858149</v>
      </c>
      <c r="M7" s="205">
        <v>0.5</v>
      </c>
      <c r="N7" s="206">
        <v>0</v>
      </c>
      <c r="O7" s="206">
        <v>0</v>
      </c>
      <c r="P7" s="207">
        <v>0</v>
      </c>
      <c r="Q7" s="207">
        <f>K7</f>
        <v>858149</v>
      </c>
      <c r="R7" s="207"/>
      <c r="S7" s="207"/>
      <c r="T7" s="207"/>
      <c r="U7" s="207"/>
      <c r="V7" s="207"/>
      <c r="W7" s="207"/>
      <c r="X7" s="173" t="b">
        <f t="shared" si="6"/>
        <v>1</v>
      </c>
      <c r="Y7" s="188">
        <f t="shared" si="7"/>
        <v>0.5</v>
      </c>
      <c r="Z7" s="189" t="b">
        <f t="shared" si="8"/>
        <v>1</v>
      </c>
      <c r="AA7" s="189" t="b">
        <f t="shared" si="9"/>
        <v>1</v>
      </c>
    </row>
    <row r="8" spans="1:28" ht="34.5" customHeight="1" x14ac:dyDescent="0.25">
      <c r="A8" s="200">
        <v>6</v>
      </c>
      <c r="B8" s="201" t="s">
        <v>313</v>
      </c>
      <c r="C8" s="201" t="s">
        <v>56</v>
      </c>
      <c r="D8" s="209" t="s">
        <v>58</v>
      </c>
      <c r="E8" s="210" t="s">
        <v>246</v>
      </c>
      <c r="F8" s="209" t="s">
        <v>314</v>
      </c>
      <c r="G8" s="209" t="s">
        <v>71</v>
      </c>
      <c r="H8" s="211">
        <v>8.452</v>
      </c>
      <c r="I8" s="209" t="s">
        <v>315</v>
      </c>
      <c r="J8" s="204">
        <v>7141824</v>
      </c>
      <c r="K8" s="204">
        <f t="shared" si="0"/>
        <v>4285094</v>
      </c>
      <c r="L8" s="204">
        <f t="shared" si="1"/>
        <v>2856730</v>
      </c>
      <c r="M8" s="205">
        <v>0.6</v>
      </c>
      <c r="N8" s="206">
        <v>0</v>
      </c>
      <c r="O8" s="206">
        <v>0</v>
      </c>
      <c r="P8" s="207">
        <v>0</v>
      </c>
      <c r="Q8" s="207">
        <f>K8</f>
        <v>4285094</v>
      </c>
      <c r="R8" s="207"/>
      <c r="S8" s="207"/>
      <c r="T8" s="207"/>
      <c r="U8" s="207"/>
      <c r="V8" s="207"/>
      <c r="W8" s="207"/>
      <c r="X8" s="173" t="b">
        <f t="shared" si="6"/>
        <v>1</v>
      </c>
      <c r="Y8" s="188">
        <f t="shared" si="7"/>
        <v>0.6</v>
      </c>
      <c r="Z8" s="189" t="b">
        <f t="shared" si="8"/>
        <v>1</v>
      </c>
      <c r="AA8" s="189" t="b">
        <f t="shared" si="9"/>
        <v>1</v>
      </c>
    </row>
    <row r="9" spans="1:28" ht="54" customHeight="1" x14ac:dyDescent="0.25">
      <c r="A9" s="200">
        <v>7</v>
      </c>
      <c r="B9" s="201" t="s">
        <v>316</v>
      </c>
      <c r="C9" s="201" t="s">
        <v>56</v>
      </c>
      <c r="D9" s="201" t="s">
        <v>61</v>
      </c>
      <c r="E9" s="202" t="s">
        <v>248</v>
      </c>
      <c r="F9" s="201" t="s">
        <v>317</v>
      </c>
      <c r="G9" s="201" t="s">
        <v>70</v>
      </c>
      <c r="H9" s="203">
        <v>0.68600000000000005</v>
      </c>
      <c r="I9" s="201" t="s">
        <v>318</v>
      </c>
      <c r="J9" s="204">
        <v>2150990</v>
      </c>
      <c r="K9" s="204">
        <f t="shared" si="0"/>
        <v>1505693</v>
      </c>
      <c r="L9" s="204">
        <f t="shared" si="1"/>
        <v>645297</v>
      </c>
      <c r="M9" s="205">
        <v>0.7</v>
      </c>
      <c r="N9" s="206">
        <v>0</v>
      </c>
      <c r="O9" s="206">
        <v>0</v>
      </c>
      <c r="P9" s="207">
        <v>0</v>
      </c>
      <c r="Q9" s="207">
        <f>K9</f>
        <v>1505693</v>
      </c>
      <c r="R9" s="207"/>
      <c r="S9" s="207"/>
      <c r="T9" s="207"/>
      <c r="U9" s="207"/>
      <c r="V9" s="207"/>
      <c r="W9" s="207"/>
      <c r="X9" s="173" t="b">
        <f t="shared" si="6"/>
        <v>1</v>
      </c>
      <c r="Y9" s="188">
        <f t="shared" si="7"/>
        <v>0.7</v>
      </c>
      <c r="Z9" s="189" t="b">
        <f t="shared" si="8"/>
        <v>1</v>
      </c>
      <c r="AA9" s="189" t="b">
        <f t="shared" si="9"/>
        <v>1</v>
      </c>
    </row>
    <row r="10" spans="1:28" ht="36.75" customHeight="1" x14ac:dyDescent="0.25">
      <c r="A10" s="199">
        <v>8</v>
      </c>
      <c r="B10" s="180" t="s">
        <v>319</v>
      </c>
      <c r="C10" s="180" t="s">
        <v>73</v>
      </c>
      <c r="D10" s="180" t="s">
        <v>124</v>
      </c>
      <c r="E10" s="195" t="s">
        <v>251</v>
      </c>
      <c r="F10" s="180" t="s">
        <v>320</v>
      </c>
      <c r="G10" s="180" t="s">
        <v>70</v>
      </c>
      <c r="H10" s="183">
        <v>0.55900000000000005</v>
      </c>
      <c r="I10" s="180" t="s">
        <v>262</v>
      </c>
      <c r="J10" s="190">
        <v>1227486</v>
      </c>
      <c r="K10" s="190">
        <f t="shared" si="0"/>
        <v>736491</v>
      </c>
      <c r="L10" s="190">
        <f t="shared" si="1"/>
        <v>490995</v>
      </c>
      <c r="M10" s="187">
        <v>0.6</v>
      </c>
      <c r="N10" s="185">
        <v>0</v>
      </c>
      <c r="O10" s="185">
        <v>0</v>
      </c>
      <c r="P10" s="186">
        <v>0</v>
      </c>
      <c r="Q10" s="186">
        <v>35424</v>
      </c>
      <c r="R10" s="186">
        <v>701067</v>
      </c>
      <c r="S10" s="186"/>
      <c r="T10" s="186"/>
      <c r="U10" s="186"/>
      <c r="V10" s="186"/>
      <c r="W10" s="186"/>
      <c r="X10" s="173" t="b">
        <f t="shared" si="6"/>
        <v>1</v>
      </c>
      <c r="Y10" s="188">
        <f t="shared" si="7"/>
        <v>0.6</v>
      </c>
      <c r="Z10" s="189" t="b">
        <f t="shared" si="8"/>
        <v>1</v>
      </c>
      <c r="AA10" s="189" t="b">
        <f t="shared" si="9"/>
        <v>1</v>
      </c>
    </row>
    <row r="11" spans="1:28" ht="42" customHeight="1" x14ac:dyDescent="0.25">
      <c r="A11" s="199">
        <v>9</v>
      </c>
      <c r="B11" s="180" t="s">
        <v>321</v>
      </c>
      <c r="C11" s="180" t="s">
        <v>73</v>
      </c>
      <c r="D11" s="180" t="s">
        <v>66</v>
      </c>
      <c r="E11" s="195" t="s">
        <v>253</v>
      </c>
      <c r="F11" s="180" t="s">
        <v>322</v>
      </c>
      <c r="G11" s="180" t="s">
        <v>69</v>
      </c>
      <c r="H11" s="183">
        <v>4.7699999999999996</v>
      </c>
      <c r="I11" s="180" t="s">
        <v>323</v>
      </c>
      <c r="J11" s="190">
        <v>17200000</v>
      </c>
      <c r="K11" s="190">
        <f t="shared" si="0"/>
        <v>12040000</v>
      </c>
      <c r="L11" s="190">
        <f t="shared" si="1"/>
        <v>5160000</v>
      </c>
      <c r="M11" s="187">
        <v>0.7</v>
      </c>
      <c r="N11" s="185">
        <v>0</v>
      </c>
      <c r="O11" s="185">
        <v>0</v>
      </c>
      <c r="P11" s="186">
        <v>0</v>
      </c>
      <c r="Q11" s="186">
        <v>1540000</v>
      </c>
      <c r="R11" s="186">
        <v>3500000</v>
      </c>
      <c r="S11" s="186">
        <v>3500000</v>
      </c>
      <c r="T11" s="186">
        <v>3500000</v>
      </c>
      <c r="U11" s="186"/>
      <c r="V11" s="186"/>
      <c r="W11" s="186"/>
      <c r="X11" s="173" t="b">
        <f t="shared" si="6"/>
        <v>1</v>
      </c>
      <c r="Y11" s="188">
        <f t="shared" si="7"/>
        <v>0.7</v>
      </c>
      <c r="Z11" s="189" t="b">
        <f t="shared" si="8"/>
        <v>1</v>
      </c>
      <c r="AA11" s="189" t="b">
        <f t="shared" si="9"/>
        <v>1</v>
      </c>
    </row>
    <row r="12" spans="1:28" ht="42" customHeight="1" x14ac:dyDescent="0.25">
      <c r="A12" s="200">
        <v>10</v>
      </c>
      <c r="B12" s="201" t="s">
        <v>324</v>
      </c>
      <c r="C12" s="201" t="s">
        <v>56</v>
      </c>
      <c r="D12" s="201" t="s">
        <v>63</v>
      </c>
      <c r="E12" s="202" t="s">
        <v>255</v>
      </c>
      <c r="F12" s="201" t="s">
        <v>325</v>
      </c>
      <c r="G12" s="201" t="s">
        <v>70</v>
      </c>
      <c r="H12" s="203">
        <v>3.1280000000000001</v>
      </c>
      <c r="I12" s="201" t="s">
        <v>267</v>
      </c>
      <c r="J12" s="204">
        <v>2766621</v>
      </c>
      <c r="K12" s="204">
        <f t="shared" ref="K12:K13" si="10">ROUNDDOWN(J12*M12,0)</f>
        <v>1383310</v>
      </c>
      <c r="L12" s="204">
        <f t="shared" ref="L12:L13" si="11">J12-K12</f>
        <v>1383311</v>
      </c>
      <c r="M12" s="205">
        <v>0.5</v>
      </c>
      <c r="N12" s="206">
        <v>0</v>
      </c>
      <c r="O12" s="206">
        <v>0</v>
      </c>
      <c r="P12" s="207">
        <v>0</v>
      </c>
      <c r="Q12" s="207">
        <f>K12</f>
        <v>1383310</v>
      </c>
      <c r="R12" s="207"/>
      <c r="S12" s="207"/>
      <c r="T12" s="207"/>
      <c r="U12" s="207"/>
      <c r="V12" s="207"/>
      <c r="W12" s="207"/>
      <c r="X12" s="173" t="b">
        <f t="shared" si="6"/>
        <v>1</v>
      </c>
      <c r="Y12" s="188">
        <f t="shared" si="7"/>
        <v>0.5</v>
      </c>
      <c r="Z12" s="189" t="b">
        <f t="shared" si="8"/>
        <v>1</v>
      </c>
      <c r="AA12" s="189" t="b">
        <f t="shared" si="9"/>
        <v>1</v>
      </c>
    </row>
    <row r="13" spans="1:28" ht="40.5" customHeight="1" x14ac:dyDescent="0.25">
      <c r="A13" s="200">
        <v>11</v>
      </c>
      <c r="B13" s="201" t="s">
        <v>298</v>
      </c>
      <c r="C13" s="201" t="s">
        <v>56</v>
      </c>
      <c r="D13" s="201" t="s">
        <v>142</v>
      </c>
      <c r="E13" s="202" t="s">
        <v>299</v>
      </c>
      <c r="F13" s="201" t="s">
        <v>300</v>
      </c>
      <c r="G13" s="201" t="s">
        <v>70</v>
      </c>
      <c r="H13" s="203">
        <v>6.07</v>
      </c>
      <c r="I13" s="201" t="s">
        <v>301</v>
      </c>
      <c r="J13" s="204">
        <v>4858484</v>
      </c>
      <c r="K13" s="208">
        <f t="shared" si="10"/>
        <v>3400938</v>
      </c>
      <c r="L13" s="204">
        <f t="shared" si="11"/>
        <v>1457546</v>
      </c>
      <c r="M13" s="205">
        <v>0.7</v>
      </c>
      <c r="N13" s="206">
        <v>0</v>
      </c>
      <c r="O13" s="206">
        <v>0</v>
      </c>
      <c r="P13" s="207">
        <v>0</v>
      </c>
      <c r="Q13" s="207">
        <f>K13</f>
        <v>3400938</v>
      </c>
      <c r="R13" s="207"/>
      <c r="S13" s="207"/>
      <c r="T13" s="207"/>
      <c r="U13" s="207"/>
      <c r="V13" s="207"/>
      <c r="W13" s="207"/>
      <c r="X13" s="173" t="b">
        <f t="shared" si="6"/>
        <v>1</v>
      </c>
      <c r="Y13" s="188">
        <f t="shared" si="7"/>
        <v>0.7</v>
      </c>
      <c r="Z13" s="189" t="b">
        <f t="shared" si="8"/>
        <v>1</v>
      </c>
      <c r="AA13" s="189" t="b">
        <f t="shared" si="9"/>
        <v>1</v>
      </c>
    </row>
    <row r="14" spans="1:28" ht="20.100000000000001" customHeight="1" x14ac:dyDescent="0.25">
      <c r="A14" s="169" t="s">
        <v>42</v>
      </c>
      <c r="B14" s="169"/>
      <c r="C14" s="169"/>
      <c r="D14" s="169"/>
      <c r="E14" s="169"/>
      <c r="F14" s="169"/>
      <c r="G14" s="169"/>
      <c r="H14" s="213">
        <f>SUM('pow rez'!H3:H13)</f>
        <v>31.380000000000003</v>
      </c>
      <c r="I14" s="214" t="s">
        <v>13</v>
      </c>
      <c r="J14" s="215">
        <f>SUM('pow rez'!J3:J13)</f>
        <v>57725641</v>
      </c>
      <c r="K14" s="217">
        <f>SUM('pow rez'!K3:K13)</f>
        <v>34541643</v>
      </c>
      <c r="L14" s="217">
        <f>SUM('pow rez'!L3:L13)</f>
        <v>23183998</v>
      </c>
      <c r="M14" s="216" t="s">
        <v>13</v>
      </c>
      <c r="N14" s="258">
        <f>SUM('pow rez'!N3:N13)</f>
        <v>0</v>
      </c>
      <c r="O14" s="258">
        <f>SUM('pow rez'!O3:O13)</f>
        <v>0</v>
      </c>
      <c r="P14" s="258">
        <f>SUM('pow rez'!P3:P13)</f>
        <v>0</v>
      </c>
      <c r="Q14" s="258">
        <f>SUM('pow rez'!Q3:Q13)</f>
        <v>21681742</v>
      </c>
      <c r="R14" s="258">
        <f>SUM('pow rez'!R3:R13)</f>
        <v>5859901</v>
      </c>
      <c r="S14" s="258">
        <f>SUM('pow rez'!S3:S13)</f>
        <v>3500000</v>
      </c>
      <c r="T14" s="258">
        <f>SUM('pow rez'!T3:T13)</f>
        <v>3500000</v>
      </c>
      <c r="U14" s="258">
        <f>SUM('pow rez'!U3:U13)</f>
        <v>0</v>
      </c>
      <c r="V14" s="258">
        <f>SUM('pow rez'!V3:V13)</f>
        <v>0</v>
      </c>
      <c r="W14" s="258">
        <f>SUM('pow rez'!W3:W13)</f>
        <v>0</v>
      </c>
      <c r="X14" s="173" t="b">
        <f>K14=SUM(N14:W14)</f>
        <v>1</v>
      </c>
      <c r="Y14" s="188"/>
      <c r="Z14" s="189"/>
      <c r="AA14" s="189" t="b">
        <f>H19=J14=K14+L14</f>
        <v>0</v>
      </c>
      <c r="AB14" s="261"/>
    </row>
    <row r="15" spans="1:28" ht="20.100000000000001" customHeight="1" x14ac:dyDescent="0.25">
      <c r="A15" s="169" t="s">
        <v>36</v>
      </c>
      <c r="B15" s="169"/>
      <c r="C15" s="169"/>
      <c r="D15" s="169"/>
      <c r="E15" s="169"/>
      <c r="F15" s="169"/>
      <c r="G15" s="169"/>
      <c r="H15" s="213">
        <f>SUMIF('pow rez'!$C$3:$C$13,"N",'pow rez'!H3:H13)</f>
        <v>23.788</v>
      </c>
      <c r="I15" s="214" t="s">
        <v>13</v>
      </c>
      <c r="J15" s="215">
        <f>SUMIF('pow rez'!$C$3:$C$13,"N",'pow rez'!J3:J13)</f>
        <v>29997175</v>
      </c>
      <c r="K15" s="217">
        <f>SUMIF('pow rez'!$C$3:$C$13,"N",'pow rez'!K3:K13)</f>
        <v>17114662</v>
      </c>
      <c r="L15" s="217">
        <f>SUMIF('pow rez'!$C$3:$C$13,"N",'pow rez'!L3:L13)</f>
        <v>12882513</v>
      </c>
      <c r="M15" s="216" t="s">
        <v>13</v>
      </c>
      <c r="N15" s="258">
        <f>SUMIF('pow rez'!$C$3:$C$13,"N",'pow rez'!N3:N13)</f>
        <v>0</v>
      </c>
      <c r="O15" s="258">
        <f>SUMIF('pow rez'!$C$3:$C$13,"N",'pow rez'!O3:O13)</f>
        <v>0</v>
      </c>
      <c r="P15" s="258">
        <f>SUMIF('pow rez'!$C$3:$C$13,"N",'pow rez'!P3:P13)</f>
        <v>0</v>
      </c>
      <c r="Q15" s="258">
        <f>SUMIF('pow rez'!$C$3:$C$13,"N",'pow rez'!Q3:Q13)</f>
        <v>17114662</v>
      </c>
      <c r="R15" s="258">
        <f>SUMIF('pow rez'!$C$3:$C$13,"N",'pow rez'!R3:R13)</f>
        <v>0</v>
      </c>
      <c r="S15" s="258">
        <f>SUMIF('pow rez'!$C$3:$C$13,"N",'pow rez'!S3:S13)</f>
        <v>0</v>
      </c>
      <c r="T15" s="258">
        <f>SUMIF('pow rez'!$C$3:$C$13,"N",'pow rez'!T3:T13)</f>
        <v>0</v>
      </c>
      <c r="U15" s="258">
        <f>SUMIF('pow rez'!$C$3:$C$13,"N",'pow rez'!U3:U13)</f>
        <v>0</v>
      </c>
      <c r="V15" s="258">
        <f>SUMIF('pow rez'!$C$3:$C$13,"N",'pow rez'!V3:V13)</f>
        <v>0</v>
      </c>
      <c r="W15" s="258">
        <f>SUMIF('pow rez'!$C$3:$C$13,"N",'pow rez'!W3:W13)</f>
        <v>0</v>
      </c>
      <c r="X15" s="173" t="b">
        <f>K15=SUM(N15:W15)</f>
        <v>1</v>
      </c>
      <c r="Y15" s="188"/>
      <c r="Z15" s="189"/>
      <c r="AA15" s="189" t="b">
        <f>J15=K15+L15</f>
        <v>1</v>
      </c>
      <c r="AB15" s="261"/>
    </row>
    <row r="16" spans="1:28" ht="20.100000000000001" customHeight="1" x14ac:dyDescent="0.25">
      <c r="A16" s="259" t="s">
        <v>37</v>
      </c>
      <c r="B16" s="259"/>
      <c r="C16" s="259"/>
      <c r="D16" s="259"/>
      <c r="E16" s="259"/>
      <c r="F16" s="259"/>
      <c r="G16" s="259"/>
      <c r="H16" s="220">
        <f>SUMIF('pow rez'!$C$3:$C$13,"W",'pow rez'!H3:H13)</f>
        <v>7.5919999999999996</v>
      </c>
      <c r="I16" s="221" t="s">
        <v>13</v>
      </c>
      <c r="J16" s="222">
        <f>SUMIF('pow rez'!$C$3:$C$13,"W",'pow rez'!J3:J13)</f>
        <v>27728466</v>
      </c>
      <c r="K16" s="224">
        <f>SUMIF('pow rez'!$C$3:$C$13,"W",'pow rez'!K3:K13)</f>
        <v>17426981</v>
      </c>
      <c r="L16" s="224">
        <f>SUMIF('pow rez'!$C$3:$C$13,"W",'pow rez'!L3:L13)</f>
        <v>10301485</v>
      </c>
      <c r="M16" s="223" t="s">
        <v>13</v>
      </c>
      <c r="N16" s="260">
        <f>SUMIF('pow rez'!$C$3:$C$13,"W",'pow rez'!N3:N13)</f>
        <v>0</v>
      </c>
      <c r="O16" s="260">
        <f>SUMIF('pow rez'!$C$3:$C$13,"W",'pow rez'!O3:O13)</f>
        <v>0</v>
      </c>
      <c r="P16" s="260">
        <f>SUMIF('pow rez'!$C$3:$C$13,"W",'pow rez'!P3:P13)</f>
        <v>0</v>
      </c>
      <c r="Q16" s="260">
        <f>SUMIF('pow rez'!$C$3:$C$13,"W",'pow rez'!Q3:Q13)</f>
        <v>4567080</v>
      </c>
      <c r="R16" s="260">
        <f>SUMIF('pow rez'!$C$3:$C$13,"W",'pow rez'!R3:R13)</f>
        <v>5859901</v>
      </c>
      <c r="S16" s="260">
        <f>SUMIF('pow rez'!$C$3:$C$13,"W",'pow rez'!S3:S13)</f>
        <v>3500000</v>
      </c>
      <c r="T16" s="260">
        <f>SUMIF('pow rez'!$C$3:$C$13,"W",'pow rez'!T3:T13)</f>
        <v>3500000</v>
      </c>
      <c r="U16" s="260">
        <f>SUMIF('pow rez'!$C$3:$C$13,"W",'pow rez'!U3:U13)</f>
        <v>0</v>
      </c>
      <c r="V16" s="260">
        <f>SUMIF('pow rez'!$C$3:$C$13,"W",'pow rez'!V3:V13)</f>
        <v>0</v>
      </c>
      <c r="W16" s="260">
        <f>SUMIF('pow rez'!$C$3:$C$13,"W",'pow rez'!W3:W13)</f>
        <v>0</v>
      </c>
      <c r="X16" s="173" t="b">
        <f>K16=SUM(N16:W16)</f>
        <v>1</v>
      </c>
      <c r="Y16" s="188"/>
      <c r="Z16" s="189"/>
      <c r="AA16" s="189" t="b">
        <f>J16=K16+L16</f>
        <v>1</v>
      </c>
      <c r="AB16" s="261"/>
    </row>
    <row r="17" spans="1:1" x14ac:dyDescent="0.25">
      <c r="A17" s="262"/>
    </row>
    <row r="18" spans="1:1" x14ac:dyDescent="0.25">
      <c r="A18" s="264" t="s">
        <v>22</v>
      </c>
    </row>
    <row r="19" spans="1:1" x14ac:dyDescent="0.25">
      <c r="A19" s="265" t="s">
        <v>23</v>
      </c>
    </row>
    <row r="20" spans="1:1" x14ac:dyDescent="0.25">
      <c r="A20" s="264" t="s">
        <v>33</v>
      </c>
    </row>
    <row r="21" spans="1:1" x14ac:dyDescent="0.25">
      <c r="A21" s="266"/>
    </row>
  </sheetData>
  <mergeCells count="17">
    <mergeCell ref="J1:J2"/>
    <mergeCell ref="K1:K2"/>
    <mergeCell ref="L1:L2"/>
    <mergeCell ref="M1:M2"/>
    <mergeCell ref="N1:W1"/>
    <mergeCell ref="A16:G16"/>
    <mergeCell ref="I1:I2"/>
    <mergeCell ref="A1:A2"/>
    <mergeCell ref="B1:B2"/>
    <mergeCell ref="C1:C2"/>
    <mergeCell ref="F1:F2"/>
    <mergeCell ref="G1:G2"/>
    <mergeCell ref="H1:H2"/>
    <mergeCell ref="D1:D2"/>
    <mergeCell ref="A14:G14"/>
    <mergeCell ref="E1:E2"/>
    <mergeCell ref="A15:G15"/>
  </mergeCells>
  <conditionalFormatting sqref="AA16 X14 AA14">
    <cfRule type="cellIs" dxfId="21" priority="23" operator="equal">
      <formula>FALSE</formula>
    </cfRule>
  </conditionalFormatting>
  <conditionalFormatting sqref="AB16">
    <cfRule type="cellIs" dxfId="20" priority="28" operator="equal">
      <formula>FALSE</formula>
    </cfRule>
  </conditionalFormatting>
  <conditionalFormatting sqref="AB16">
    <cfRule type="cellIs" dxfId="19" priority="27" operator="equal">
      <formula>FALSE</formula>
    </cfRule>
  </conditionalFormatting>
  <conditionalFormatting sqref="Y16:Z16">
    <cfRule type="cellIs" dxfId="18" priority="26" operator="equal">
      <formula>FALSE</formula>
    </cfRule>
  </conditionalFormatting>
  <conditionalFormatting sqref="X16">
    <cfRule type="cellIs" dxfId="17" priority="25" operator="equal">
      <formula>FALSE</formula>
    </cfRule>
  </conditionalFormatting>
  <conditionalFormatting sqref="X16:Z16">
    <cfRule type="containsText" dxfId="16" priority="24" operator="containsText" text="fałsz">
      <formula>NOT(ISERROR(SEARCH("fałsz",X16)))</formula>
    </cfRule>
  </conditionalFormatting>
  <conditionalFormatting sqref="AA16">
    <cfRule type="cellIs" dxfId="15" priority="22" operator="equal">
      <formula>FALSE</formula>
    </cfRule>
  </conditionalFormatting>
  <conditionalFormatting sqref="AB14:AB15">
    <cfRule type="cellIs" dxfId="14" priority="21" operator="equal">
      <formula>FALSE</formula>
    </cfRule>
  </conditionalFormatting>
  <conditionalFormatting sqref="AB14:AB15">
    <cfRule type="cellIs" dxfId="13" priority="20" operator="equal">
      <formula>FALSE</formula>
    </cfRule>
  </conditionalFormatting>
  <conditionalFormatting sqref="Y14:Z14">
    <cfRule type="cellIs" dxfId="12" priority="19" operator="equal">
      <formula>FALSE</formula>
    </cfRule>
  </conditionalFormatting>
  <conditionalFormatting sqref="X14:Z14">
    <cfRule type="containsText" dxfId="11" priority="17" operator="containsText" text="fałsz">
      <formula>NOT(ISERROR(SEARCH("fałsz",X14)))</formula>
    </cfRule>
  </conditionalFormatting>
  <conditionalFormatting sqref="Y15:Z15">
    <cfRule type="cellIs" dxfId="10" priority="14" operator="equal">
      <formula>FALSE</formula>
    </cfRule>
  </conditionalFormatting>
  <conditionalFormatting sqref="X15">
    <cfRule type="cellIs" dxfId="9" priority="13" operator="equal">
      <formula>FALSE</formula>
    </cfRule>
  </conditionalFormatting>
  <conditionalFormatting sqref="X15:Z15">
    <cfRule type="containsText" dxfId="8" priority="12" operator="containsText" text="fałsz">
      <formula>NOT(ISERROR(SEARCH("fałsz",X15)))</formula>
    </cfRule>
  </conditionalFormatting>
  <conditionalFormatting sqref="AA15">
    <cfRule type="cellIs" dxfId="7" priority="11" operator="equal">
      <formula>FALSE</formula>
    </cfRule>
  </conditionalFormatting>
  <conditionalFormatting sqref="AA15">
    <cfRule type="cellIs" dxfId="6" priority="10" operator="equal">
      <formula>FALSE</formula>
    </cfRule>
  </conditionalFormatting>
  <conditionalFormatting sqref="X3:AA13">
    <cfRule type="cellIs" dxfId="3" priority="2" operator="equal">
      <formula>FALSE</formula>
    </cfRule>
  </conditionalFormatting>
  <conditionalFormatting sqref="X3:Z13">
    <cfRule type="containsText" dxfId="2" priority="1" operator="containsText" text="fałsz">
      <formula>NOT(ISERROR(SEARCH("fałsz",X3)))</formula>
    </cfRule>
  </conditionalFormatting>
  <dataValidations count="2">
    <dataValidation type="list" allowBlank="1" showInputMessage="1" showErrorMessage="1" sqref="G3:G13">
      <formula1>"B,P,R"</formula1>
    </dataValidation>
    <dataValidation type="list" allowBlank="1" showInputMessage="1" showErrorMessage="1" sqref="C3:C13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headerFooter>
    <oddHeader>&amp;LWojewództwo Lubuskie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"/>
  <sheetViews>
    <sheetView showGridLines="0" view="pageBreakPreview" zoomScale="85" zoomScaleNormal="78" zoomScaleSheetLayoutView="85" workbookViewId="0">
      <selection sqref="A1:A2"/>
    </sheetView>
  </sheetViews>
  <sheetFormatPr defaultRowHeight="12" x14ac:dyDescent="0.25"/>
  <cols>
    <col min="1" max="1" width="5" style="225" customWidth="1"/>
    <col min="2" max="2" width="12" style="225" customWidth="1"/>
    <col min="3" max="4" width="14.5703125" style="225" customWidth="1"/>
    <col min="5" max="5" width="10.7109375" style="225" customWidth="1"/>
    <col min="6" max="6" width="12.7109375" style="225" customWidth="1"/>
    <col min="7" max="7" width="38.7109375" style="225" customWidth="1"/>
    <col min="8" max="8" width="8.7109375" style="225" customWidth="1"/>
    <col min="9" max="10" width="15.85546875" style="225" customWidth="1"/>
    <col min="11" max="11" width="15.85546875" style="263" customWidth="1"/>
    <col min="12" max="12" width="14.85546875" style="225" customWidth="1"/>
    <col min="13" max="13" width="13.5703125" style="225" customWidth="1"/>
    <col min="14" max="14" width="13.28515625" style="173" customWidth="1"/>
    <col min="15" max="15" width="9.85546875" style="225" customWidth="1"/>
    <col min="16" max="16" width="14.42578125" style="225" customWidth="1"/>
    <col min="17" max="17" width="15.42578125" style="225" customWidth="1"/>
    <col min="18" max="19" width="14.7109375" style="225" customWidth="1"/>
    <col min="20" max="21" width="13.28515625" style="225" customWidth="1"/>
    <col min="22" max="22" width="13.7109375" style="225" customWidth="1"/>
    <col min="23" max="23" width="14" style="225" customWidth="1"/>
    <col min="24" max="24" width="16" style="225" customWidth="1"/>
    <col min="25" max="28" width="15.7109375" style="225" customWidth="1"/>
    <col min="29" max="16384" width="9.140625" style="225"/>
  </cols>
  <sheetData>
    <row r="1" spans="1:28" ht="20.100000000000001" customHeight="1" x14ac:dyDescent="0.25">
      <c r="A1" s="169" t="s">
        <v>174</v>
      </c>
      <c r="B1" s="169" t="s">
        <v>4</v>
      </c>
      <c r="C1" s="170" t="s">
        <v>175</v>
      </c>
      <c r="D1" s="171" t="s">
        <v>5</v>
      </c>
      <c r="E1" s="171" t="s">
        <v>31</v>
      </c>
      <c r="F1" s="171" t="s">
        <v>14</v>
      </c>
      <c r="G1" s="169" t="s">
        <v>6</v>
      </c>
      <c r="H1" s="169" t="s">
        <v>24</v>
      </c>
      <c r="I1" s="169" t="s">
        <v>7</v>
      </c>
      <c r="J1" s="169" t="s">
        <v>25</v>
      </c>
      <c r="K1" s="172" t="s">
        <v>8</v>
      </c>
      <c r="L1" s="169" t="s">
        <v>9</v>
      </c>
      <c r="M1" s="171" t="s">
        <v>12</v>
      </c>
      <c r="N1" s="169" t="s">
        <v>10</v>
      </c>
      <c r="O1" s="169" t="s">
        <v>11</v>
      </c>
      <c r="P1" s="169"/>
      <c r="Q1" s="169"/>
      <c r="R1" s="169"/>
      <c r="S1" s="169"/>
      <c r="T1" s="169"/>
      <c r="U1" s="169"/>
      <c r="V1" s="169"/>
      <c r="W1" s="169"/>
      <c r="X1" s="169"/>
    </row>
    <row r="2" spans="1:28" ht="33" customHeight="1" x14ac:dyDescent="0.25">
      <c r="A2" s="169"/>
      <c r="B2" s="169"/>
      <c r="C2" s="175"/>
      <c r="D2" s="176"/>
      <c r="E2" s="176"/>
      <c r="F2" s="176"/>
      <c r="G2" s="169"/>
      <c r="H2" s="169"/>
      <c r="I2" s="169"/>
      <c r="J2" s="169"/>
      <c r="K2" s="172"/>
      <c r="L2" s="169"/>
      <c r="M2" s="176"/>
      <c r="N2" s="169"/>
      <c r="O2" s="177">
        <v>2019</v>
      </c>
      <c r="P2" s="177">
        <v>2020</v>
      </c>
      <c r="Q2" s="177">
        <v>2021</v>
      </c>
      <c r="R2" s="177">
        <v>2022</v>
      </c>
      <c r="S2" s="177">
        <v>2023</v>
      </c>
      <c r="T2" s="177">
        <v>2024</v>
      </c>
      <c r="U2" s="177">
        <v>2025</v>
      </c>
      <c r="V2" s="177">
        <v>2026</v>
      </c>
      <c r="W2" s="177">
        <v>2027</v>
      </c>
      <c r="X2" s="177">
        <v>2028</v>
      </c>
      <c r="Y2" s="173" t="s">
        <v>27</v>
      </c>
      <c r="Z2" s="173" t="s">
        <v>28</v>
      </c>
      <c r="AA2" s="173" t="s">
        <v>29</v>
      </c>
      <c r="AB2" s="178" t="s">
        <v>30</v>
      </c>
    </row>
    <row r="3" spans="1:28" ht="33" customHeight="1" x14ac:dyDescent="0.25">
      <c r="A3" s="180">
        <v>1</v>
      </c>
      <c r="B3" s="180" t="s">
        <v>441</v>
      </c>
      <c r="C3" s="180" t="s">
        <v>73</v>
      </c>
      <c r="D3" s="180" t="s">
        <v>207</v>
      </c>
      <c r="E3" s="195" t="s">
        <v>136</v>
      </c>
      <c r="F3" s="180" t="s">
        <v>64</v>
      </c>
      <c r="G3" s="180" t="s">
        <v>442</v>
      </c>
      <c r="H3" s="180" t="s">
        <v>70</v>
      </c>
      <c r="I3" s="183">
        <v>1.3360000000000001</v>
      </c>
      <c r="J3" s="180" t="s">
        <v>443</v>
      </c>
      <c r="K3" s="235">
        <v>14477941</v>
      </c>
      <c r="L3" s="235">
        <f t="shared" ref="L3" si="0">ROUNDDOWN(K3*N3,0)</f>
        <v>7238970</v>
      </c>
      <c r="M3" s="235">
        <f t="shared" ref="M3" si="1">K3-L3</f>
        <v>7238971</v>
      </c>
      <c r="N3" s="237">
        <v>0.5</v>
      </c>
      <c r="O3" s="235">
        <v>0</v>
      </c>
      <c r="P3" s="235">
        <v>0</v>
      </c>
      <c r="Q3" s="235">
        <v>0</v>
      </c>
      <c r="R3" s="235">
        <v>3603032</v>
      </c>
      <c r="S3" s="235">
        <v>3635938</v>
      </c>
      <c r="T3" s="235"/>
      <c r="U3" s="235"/>
      <c r="V3" s="235"/>
      <c r="W3" s="235"/>
      <c r="X3" s="235"/>
      <c r="Y3" s="173" t="b">
        <f t="shared" ref="Y3" si="2">L3=SUM(O3:X3)</f>
        <v>1</v>
      </c>
      <c r="Z3" s="188">
        <f t="shared" ref="Z3" si="3">ROUND(L3/K3,4)</f>
        <v>0.5</v>
      </c>
      <c r="AA3" s="189" t="b">
        <f t="shared" ref="AA3" si="4">Z3=N3</f>
        <v>1</v>
      </c>
      <c r="AB3" s="189" t="b">
        <f t="shared" ref="AB3" si="5">K3=L3+M3</f>
        <v>1</v>
      </c>
    </row>
    <row r="4" spans="1:28" ht="42.75" customHeight="1" x14ac:dyDescent="0.25">
      <c r="A4" s="200">
        <v>2</v>
      </c>
      <c r="B4" s="201" t="s">
        <v>433</v>
      </c>
      <c r="C4" s="201" t="s">
        <v>56</v>
      </c>
      <c r="D4" s="201" t="s">
        <v>81</v>
      </c>
      <c r="E4" s="202" t="s">
        <v>130</v>
      </c>
      <c r="F4" s="201" t="s">
        <v>66</v>
      </c>
      <c r="G4" s="201" t="s">
        <v>434</v>
      </c>
      <c r="H4" s="201" t="s">
        <v>69</v>
      </c>
      <c r="I4" s="203">
        <v>0.82499999999999996</v>
      </c>
      <c r="J4" s="201" t="s">
        <v>305</v>
      </c>
      <c r="K4" s="239">
        <v>6654644</v>
      </c>
      <c r="L4" s="239">
        <f t="shared" ref="L4:L8" si="6">ROUNDDOWN(K4*N4,0)</f>
        <v>5323715</v>
      </c>
      <c r="M4" s="239">
        <f t="shared" ref="M4:M8" si="7">K4-L4</f>
        <v>1330929</v>
      </c>
      <c r="N4" s="240">
        <v>0.8</v>
      </c>
      <c r="O4" s="208">
        <v>0</v>
      </c>
      <c r="P4" s="208">
        <v>0</v>
      </c>
      <c r="Q4" s="208">
        <v>0</v>
      </c>
      <c r="R4" s="208">
        <f>L4</f>
        <v>5323715</v>
      </c>
      <c r="S4" s="208"/>
      <c r="T4" s="208"/>
      <c r="U4" s="208"/>
      <c r="V4" s="208"/>
      <c r="W4" s="208"/>
      <c r="X4" s="208"/>
      <c r="Y4" s="173" t="b">
        <f t="shared" ref="Y4:Y39" si="8">L4=SUM(O4:X4)</f>
        <v>1</v>
      </c>
      <c r="Z4" s="188">
        <f t="shared" ref="Z4:Z39" si="9">ROUND(L4/K4,4)</f>
        <v>0.8</v>
      </c>
      <c r="AA4" s="189" t="b">
        <f t="shared" ref="AA4:AA39" si="10">Z4=N4</f>
        <v>1</v>
      </c>
      <c r="AB4" s="189" t="b">
        <f t="shared" ref="AB4:AB39" si="11">K4=L4+M4</f>
        <v>1</v>
      </c>
    </row>
    <row r="5" spans="1:28" ht="33.75" customHeight="1" x14ac:dyDescent="0.25">
      <c r="A5" s="201">
        <v>3</v>
      </c>
      <c r="B5" s="201" t="s">
        <v>439</v>
      </c>
      <c r="C5" s="201" t="s">
        <v>56</v>
      </c>
      <c r="D5" s="201" t="s">
        <v>222</v>
      </c>
      <c r="E5" s="202" t="s">
        <v>236</v>
      </c>
      <c r="F5" s="201" t="s">
        <v>60</v>
      </c>
      <c r="G5" s="201" t="s">
        <v>440</v>
      </c>
      <c r="H5" s="201" t="s">
        <v>70</v>
      </c>
      <c r="I5" s="203">
        <v>0.77300000000000002</v>
      </c>
      <c r="J5" s="201" t="s">
        <v>376</v>
      </c>
      <c r="K5" s="208">
        <v>1707992</v>
      </c>
      <c r="L5" s="208">
        <f t="shared" si="6"/>
        <v>853996</v>
      </c>
      <c r="M5" s="208">
        <f t="shared" si="7"/>
        <v>853996</v>
      </c>
      <c r="N5" s="244">
        <v>0.5</v>
      </c>
      <c r="O5" s="243">
        <v>0</v>
      </c>
      <c r="P5" s="245">
        <v>0</v>
      </c>
      <c r="Q5" s="245">
        <v>0</v>
      </c>
      <c r="R5" s="245">
        <f t="shared" ref="R5:R7" si="12">L5</f>
        <v>853996</v>
      </c>
      <c r="S5" s="245"/>
      <c r="T5" s="245"/>
      <c r="U5" s="245"/>
      <c r="V5" s="245"/>
      <c r="W5" s="245"/>
      <c r="X5" s="245"/>
      <c r="Y5" s="173" t="b">
        <f t="shared" si="8"/>
        <v>1</v>
      </c>
      <c r="Z5" s="188">
        <f t="shared" si="9"/>
        <v>0.5</v>
      </c>
      <c r="AA5" s="189" t="b">
        <f t="shared" si="10"/>
        <v>1</v>
      </c>
      <c r="AB5" s="189" t="b">
        <f t="shared" si="11"/>
        <v>1</v>
      </c>
    </row>
    <row r="6" spans="1:28" ht="36" x14ac:dyDescent="0.25">
      <c r="A6" s="201">
        <v>4</v>
      </c>
      <c r="B6" s="201" t="s">
        <v>444</v>
      </c>
      <c r="C6" s="201" t="s">
        <v>56</v>
      </c>
      <c r="D6" s="201" t="s">
        <v>86</v>
      </c>
      <c r="E6" s="202" t="s">
        <v>137</v>
      </c>
      <c r="F6" s="201" t="s">
        <v>62</v>
      </c>
      <c r="G6" s="201" t="s">
        <v>445</v>
      </c>
      <c r="H6" s="201" t="s">
        <v>70</v>
      </c>
      <c r="I6" s="203">
        <v>1.4610000000000001</v>
      </c>
      <c r="J6" s="201" t="s">
        <v>446</v>
      </c>
      <c r="K6" s="208">
        <v>1295808</v>
      </c>
      <c r="L6" s="208">
        <f t="shared" si="6"/>
        <v>907065</v>
      </c>
      <c r="M6" s="208">
        <f t="shared" si="7"/>
        <v>388743</v>
      </c>
      <c r="N6" s="244">
        <v>0.7</v>
      </c>
      <c r="O6" s="208">
        <v>0</v>
      </c>
      <c r="P6" s="208">
        <v>0</v>
      </c>
      <c r="Q6" s="208">
        <v>0</v>
      </c>
      <c r="R6" s="208">
        <f t="shared" si="12"/>
        <v>907065</v>
      </c>
      <c r="S6" s="208"/>
      <c r="T6" s="208"/>
      <c r="U6" s="208"/>
      <c r="V6" s="208"/>
      <c r="W6" s="208"/>
      <c r="X6" s="208"/>
      <c r="Y6" s="173" t="b">
        <f t="shared" si="8"/>
        <v>1</v>
      </c>
      <c r="Z6" s="188">
        <f t="shared" si="9"/>
        <v>0.7</v>
      </c>
      <c r="AA6" s="189" t="b">
        <f t="shared" si="10"/>
        <v>1</v>
      </c>
      <c r="AB6" s="189" t="b">
        <f t="shared" si="11"/>
        <v>1</v>
      </c>
    </row>
    <row r="7" spans="1:28" ht="50.25" customHeight="1" x14ac:dyDescent="0.25">
      <c r="A7" s="201">
        <v>5</v>
      </c>
      <c r="B7" s="201" t="s">
        <v>447</v>
      </c>
      <c r="C7" s="201" t="s">
        <v>56</v>
      </c>
      <c r="D7" s="201" t="s">
        <v>98</v>
      </c>
      <c r="E7" s="202" t="s">
        <v>151</v>
      </c>
      <c r="F7" s="201" t="s">
        <v>60</v>
      </c>
      <c r="G7" s="201" t="s">
        <v>448</v>
      </c>
      <c r="H7" s="201" t="s">
        <v>70</v>
      </c>
      <c r="I7" s="203">
        <v>0.19600000000000001</v>
      </c>
      <c r="J7" s="201" t="s">
        <v>315</v>
      </c>
      <c r="K7" s="208">
        <v>1685739</v>
      </c>
      <c r="L7" s="243">
        <f t="shared" si="6"/>
        <v>1011443</v>
      </c>
      <c r="M7" s="243">
        <f t="shared" si="7"/>
        <v>674296</v>
      </c>
      <c r="N7" s="244">
        <v>0.6</v>
      </c>
      <c r="O7" s="208">
        <v>0</v>
      </c>
      <c r="P7" s="208">
        <v>0</v>
      </c>
      <c r="Q7" s="208">
        <v>0</v>
      </c>
      <c r="R7" s="208">
        <f t="shared" si="12"/>
        <v>1011443</v>
      </c>
      <c r="S7" s="208"/>
      <c r="T7" s="208"/>
      <c r="U7" s="208"/>
      <c r="V7" s="208"/>
      <c r="W7" s="208"/>
      <c r="X7" s="208"/>
      <c r="Y7" s="173" t="b">
        <f t="shared" si="8"/>
        <v>1</v>
      </c>
      <c r="Z7" s="188">
        <f t="shared" si="9"/>
        <v>0.6</v>
      </c>
      <c r="AA7" s="189" t="b">
        <f t="shared" si="10"/>
        <v>1</v>
      </c>
      <c r="AB7" s="189" t="b">
        <f t="shared" si="11"/>
        <v>1</v>
      </c>
    </row>
    <row r="8" spans="1:28" ht="30.75" customHeight="1" x14ac:dyDescent="0.25">
      <c r="A8" s="199">
        <v>6</v>
      </c>
      <c r="B8" s="180" t="s">
        <v>449</v>
      </c>
      <c r="C8" s="180" t="s">
        <v>73</v>
      </c>
      <c r="D8" s="180" t="s">
        <v>103</v>
      </c>
      <c r="E8" s="195" t="s">
        <v>156</v>
      </c>
      <c r="F8" s="180" t="s">
        <v>58</v>
      </c>
      <c r="G8" s="180" t="s">
        <v>450</v>
      </c>
      <c r="H8" s="180" t="s">
        <v>70</v>
      </c>
      <c r="I8" s="183">
        <v>1.0549999999999999</v>
      </c>
      <c r="J8" s="180" t="s">
        <v>392</v>
      </c>
      <c r="K8" s="228">
        <v>5971783</v>
      </c>
      <c r="L8" s="198">
        <f t="shared" si="6"/>
        <v>2985891</v>
      </c>
      <c r="M8" s="198">
        <f t="shared" si="7"/>
        <v>2985892</v>
      </c>
      <c r="N8" s="234">
        <v>0.5</v>
      </c>
      <c r="O8" s="198">
        <v>0</v>
      </c>
      <c r="P8" s="198">
        <v>0</v>
      </c>
      <c r="Q8" s="198">
        <v>0</v>
      </c>
      <c r="R8" s="198">
        <v>2953216</v>
      </c>
      <c r="S8" s="198">
        <v>32675</v>
      </c>
      <c r="T8" s="198"/>
      <c r="U8" s="198"/>
      <c r="V8" s="198"/>
      <c r="W8" s="198"/>
      <c r="X8" s="198"/>
      <c r="Y8" s="173" t="b">
        <f t="shared" si="8"/>
        <v>1</v>
      </c>
      <c r="Z8" s="188">
        <f t="shared" si="9"/>
        <v>0.5</v>
      </c>
      <c r="AA8" s="189" t="b">
        <f t="shared" si="10"/>
        <v>1</v>
      </c>
      <c r="AB8" s="189" t="b">
        <f t="shared" si="11"/>
        <v>1</v>
      </c>
    </row>
    <row r="9" spans="1:28" ht="33" customHeight="1" x14ac:dyDescent="0.25">
      <c r="A9" s="201">
        <v>7</v>
      </c>
      <c r="B9" s="201" t="s">
        <v>451</v>
      </c>
      <c r="C9" s="201" t="s">
        <v>56</v>
      </c>
      <c r="D9" s="201" t="s">
        <v>90</v>
      </c>
      <c r="E9" s="202" t="s">
        <v>240</v>
      </c>
      <c r="F9" s="201" t="s">
        <v>61</v>
      </c>
      <c r="G9" s="201" t="s">
        <v>514</v>
      </c>
      <c r="H9" s="201" t="s">
        <v>70</v>
      </c>
      <c r="I9" s="203">
        <v>0.71</v>
      </c>
      <c r="J9" s="201" t="s">
        <v>452</v>
      </c>
      <c r="K9" s="208">
        <v>1594673</v>
      </c>
      <c r="L9" s="245">
        <f>ROUNDDOWN(K9*N9,0)</f>
        <v>797336</v>
      </c>
      <c r="M9" s="245">
        <f>K9-L9</f>
        <v>797337</v>
      </c>
      <c r="N9" s="246">
        <v>0.5</v>
      </c>
      <c r="O9" s="245">
        <v>0</v>
      </c>
      <c r="P9" s="245">
        <v>0</v>
      </c>
      <c r="Q9" s="245">
        <v>0</v>
      </c>
      <c r="R9" s="245">
        <f>L9</f>
        <v>797336</v>
      </c>
      <c r="S9" s="245"/>
      <c r="T9" s="245"/>
      <c r="U9" s="245"/>
      <c r="V9" s="245"/>
      <c r="W9" s="245"/>
      <c r="X9" s="245"/>
      <c r="Y9" s="173" t="b">
        <f t="shared" si="8"/>
        <v>1</v>
      </c>
      <c r="Z9" s="188">
        <f t="shared" si="9"/>
        <v>0.5</v>
      </c>
      <c r="AA9" s="189" t="b">
        <f t="shared" si="10"/>
        <v>1</v>
      </c>
      <c r="AB9" s="189" t="b">
        <f t="shared" si="11"/>
        <v>1</v>
      </c>
    </row>
    <row r="10" spans="1:28" ht="34.5" customHeight="1" x14ac:dyDescent="0.25">
      <c r="A10" s="209">
        <v>8</v>
      </c>
      <c r="B10" s="201" t="s">
        <v>374</v>
      </c>
      <c r="C10" s="209" t="s">
        <v>56</v>
      </c>
      <c r="D10" s="201" t="s">
        <v>222</v>
      </c>
      <c r="E10" s="202" t="s">
        <v>236</v>
      </c>
      <c r="F10" s="201" t="s">
        <v>60</v>
      </c>
      <c r="G10" s="201" t="s">
        <v>375</v>
      </c>
      <c r="H10" s="201" t="s">
        <v>69</v>
      </c>
      <c r="I10" s="203">
        <v>0.47</v>
      </c>
      <c r="J10" s="201" t="s">
        <v>376</v>
      </c>
      <c r="K10" s="208">
        <v>807248</v>
      </c>
      <c r="L10" s="208">
        <f t="shared" ref="L10:L14" si="13">ROUNDDOWN(K10*N10,0)</f>
        <v>403624</v>
      </c>
      <c r="M10" s="208">
        <f t="shared" ref="M10:M39" si="14">K10-L10</f>
        <v>403624</v>
      </c>
      <c r="N10" s="246">
        <v>0.5</v>
      </c>
      <c r="O10" s="243">
        <v>0</v>
      </c>
      <c r="P10" s="245">
        <v>0</v>
      </c>
      <c r="Q10" s="245">
        <v>0</v>
      </c>
      <c r="R10" s="245">
        <f t="shared" ref="R10" si="15">L10</f>
        <v>403624</v>
      </c>
      <c r="S10" s="245"/>
      <c r="T10" s="245"/>
      <c r="U10" s="245"/>
      <c r="V10" s="245"/>
      <c r="W10" s="245"/>
      <c r="X10" s="245"/>
      <c r="Y10" s="173" t="b">
        <f t="shared" si="8"/>
        <v>1</v>
      </c>
      <c r="Z10" s="188">
        <f t="shared" si="9"/>
        <v>0.5</v>
      </c>
      <c r="AA10" s="189" t="b">
        <f t="shared" si="10"/>
        <v>1</v>
      </c>
      <c r="AB10" s="189" t="b">
        <f t="shared" si="11"/>
        <v>1</v>
      </c>
    </row>
    <row r="11" spans="1:28" ht="33.75" customHeight="1" x14ac:dyDescent="0.25">
      <c r="A11" s="199">
        <v>9</v>
      </c>
      <c r="B11" s="180" t="s">
        <v>453</v>
      </c>
      <c r="C11" s="180" t="s">
        <v>73</v>
      </c>
      <c r="D11" s="180" t="s">
        <v>95</v>
      </c>
      <c r="E11" s="195" t="s">
        <v>147</v>
      </c>
      <c r="F11" s="180" t="s">
        <v>60</v>
      </c>
      <c r="G11" s="180" t="s">
        <v>454</v>
      </c>
      <c r="H11" s="180" t="s">
        <v>69</v>
      </c>
      <c r="I11" s="183">
        <v>0.30199999999999999</v>
      </c>
      <c r="J11" s="180" t="s">
        <v>404</v>
      </c>
      <c r="K11" s="198">
        <v>895966</v>
      </c>
      <c r="L11" s="198">
        <f t="shared" si="13"/>
        <v>447983</v>
      </c>
      <c r="M11" s="198">
        <f t="shared" si="14"/>
        <v>447983</v>
      </c>
      <c r="N11" s="234">
        <v>0.5</v>
      </c>
      <c r="O11" s="238">
        <v>0</v>
      </c>
      <c r="P11" s="238">
        <v>0</v>
      </c>
      <c r="Q11" s="238">
        <v>0</v>
      </c>
      <c r="R11" s="238">
        <v>34787</v>
      </c>
      <c r="S11" s="238">
        <v>413196</v>
      </c>
      <c r="T11" s="238"/>
      <c r="U11" s="238"/>
      <c r="V11" s="238"/>
      <c r="W11" s="238"/>
      <c r="X11" s="238"/>
      <c r="Y11" s="173" t="b">
        <f t="shared" si="8"/>
        <v>1</v>
      </c>
      <c r="Z11" s="188">
        <f t="shared" si="9"/>
        <v>0.5</v>
      </c>
      <c r="AA11" s="189" t="b">
        <f t="shared" si="10"/>
        <v>1</v>
      </c>
      <c r="AB11" s="189" t="b">
        <f t="shared" si="11"/>
        <v>1</v>
      </c>
    </row>
    <row r="12" spans="1:28" ht="42" customHeight="1" x14ac:dyDescent="0.25">
      <c r="A12" s="201">
        <v>10</v>
      </c>
      <c r="B12" s="201" t="s">
        <v>455</v>
      </c>
      <c r="C12" s="201" t="s">
        <v>56</v>
      </c>
      <c r="D12" s="201" t="s">
        <v>218</v>
      </c>
      <c r="E12" s="202" t="s">
        <v>235</v>
      </c>
      <c r="F12" s="201" t="s">
        <v>132</v>
      </c>
      <c r="G12" s="201" t="s">
        <v>456</v>
      </c>
      <c r="H12" s="201" t="s">
        <v>70</v>
      </c>
      <c r="I12" s="203">
        <v>0.98</v>
      </c>
      <c r="J12" s="201" t="s">
        <v>457</v>
      </c>
      <c r="K12" s="208">
        <v>1709704</v>
      </c>
      <c r="L12" s="245">
        <f t="shared" si="13"/>
        <v>1025822</v>
      </c>
      <c r="M12" s="245">
        <f t="shared" si="14"/>
        <v>683882</v>
      </c>
      <c r="N12" s="246">
        <v>0.6</v>
      </c>
      <c r="O12" s="243">
        <v>0</v>
      </c>
      <c r="P12" s="245">
        <v>0</v>
      </c>
      <c r="Q12" s="245">
        <v>0</v>
      </c>
      <c r="R12" s="245">
        <f t="shared" ref="R12:R14" si="16">L12</f>
        <v>1025822</v>
      </c>
      <c r="S12" s="245"/>
      <c r="T12" s="245"/>
      <c r="U12" s="245"/>
      <c r="V12" s="245"/>
      <c r="W12" s="245"/>
      <c r="X12" s="245"/>
      <c r="Y12" s="173" t="b">
        <f t="shared" si="8"/>
        <v>1</v>
      </c>
      <c r="Z12" s="188">
        <f t="shared" si="9"/>
        <v>0.6</v>
      </c>
      <c r="AA12" s="189" t="b">
        <f t="shared" si="10"/>
        <v>1</v>
      </c>
      <c r="AB12" s="189" t="b">
        <f t="shared" si="11"/>
        <v>1</v>
      </c>
    </row>
    <row r="13" spans="1:28" ht="36.75" customHeight="1" x14ac:dyDescent="0.25">
      <c r="A13" s="200">
        <v>11</v>
      </c>
      <c r="B13" s="201" t="s">
        <v>458</v>
      </c>
      <c r="C13" s="201" t="s">
        <v>56</v>
      </c>
      <c r="D13" s="201" t="s">
        <v>92</v>
      </c>
      <c r="E13" s="202" t="s">
        <v>144</v>
      </c>
      <c r="F13" s="201" t="s">
        <v>63</v>
      </c>
      <c r="G13" s="201" t="s">
        <v>459</v>
      </c>
      <c r="H13" s="200" t="s">
        <v>70</v>
      </c>
      <c r="I13" s="242">
        <v>0.55000000000000004</v>
      </c>
      <c r="J13" s="201" t="s">
        <v>305</v>
      </c>
      <c r="K13" s="239">
        <v>484778</v>
      </c>
      <c r="L13" s="239">
        <f t="shared" si="13"/>
        <v>242389</v>
      </c>
      <c r="M13" s="239">
        <f t="shared" si="14"/>
        <v>242389</v>
      </c>
      <c r="N13" s="240">
        <v>0.5</v>
      </c>
      <c r="O13" s="208">
        <v>0</v>
      </c>
      <c r="P13" s="208">
        <v>0</v>
      </c>
      <c r="Q13" s="208">
        <v>0</v>
      </c>
      <c r="R13" s="208">
        <f t="shared" si="16"/>
        <v>242389</v>
      </c>
      <c r="S13" s="208"/>
      <c r="T13" s="208"/>
      <c r="U13" s="208"/>
      <c r="V13" s="208"/>
      <c r="W13" s="208"/>
      <c r="X13" s="208"/>
      <c r="Y13" s="173" t="b">
        <f t="shared" si="8"/>
        <v>1</v>
      </c>
      <c r="Z13" s="188">
        <f t="shared" si="9"/>
        <v>0.5</v>
      </c>
      <c r="AA13" s="189" t="b">
        <f t="shared" si="10"/>
        <v>1</v>
      </c>
      <c r="AB13" s="189" t="b">
        <f t="shared" si="11"/>
        <v>1</v>
      </c>
    </row>
    <row r="14" spans="1:28" ht="29.25" customHeight="1" x14ac:dyDescent="0.25">
      <c r="A14" s="200">
        <v>12</v>
      </c>
      <c r="B14" s="201" t="s">
        <v>460</v>
      </c>
      <c r="C14" s="201" t="s">
        <v>56</v>
      </c>
      <c r="D14" s="201" t="s">
        <v>92</v>
      </c>
      <c r="E14" s="202" t="s">
        <v>144</v>
      </c>
      <c r="F14" s="201" t="s">
        <v>63</v>
      </c>
      <c r="G14" s="201" t="s">
        <v>461</v>
      </c>
      <c r="H14" s="201" t="s">
        <v>70</v>
      </c>
      <c r="I14" s="201">
        <v>0.45800000000000002</v>
      </c>
      <c r="J14" s="201" t="s">
        <v>305</v>
      </c>
      <c r="K14" s="239">
        <v>1377324</v>
      </c>
      <c r="L14" s="239">
        <f t="shared" si="13"/>
        <v>688662</v>
      </c>
      <c r="M14" s="239">
        <f t="shared" si="14"/>
        <v>688662</v>
      </c>
      <c r="N14" s="240">
        <v>0.5</v>
      </c>
      <c r="O14" s="208">
        <v>0</v>
      </c>
      <c r="P14" s="208">
        <v>0</v>
      </c>
      <c r="Q14" s="208">
        <v>0</v>
      </c>
      <c r="R14" s="208">
        <f t="shared" si="16"/>
        <v>688662</v>
      </c>
      <c r="S14" s="208"/>
      <c r="T14" s="208"/>
      <c r="U14" s="208"/>
      <c r="V14" s="208"/>
      <c r="W14" s="208"/>
      <c r="X14" s="208"/>
      <c r="Y14" s="173" t="b">
        <f t="shared" si="8"/>
        <v>1</v>
      </c>
      <c r="Z14" s="188">
        <f t="shared" si="9"/>
        <v>0.5</v>
      </c>
      <c r="AA14" s="189" t="b">
        <f t="shared" si="10"/>
        <v>1</v>
      </c>
      <c r="AB14" s="189" t="b">
        <f t="shared" si="11"/>
        <v>1</v>
      </c>
    </row>
    <row r="15" spans="1:28" ht="31.5" customHeight="1" x14ac:dyDescent="0.25">
      <c r="A15" s="199">
        <v>13</v>
      </c>
      <c r="B15" s="180" t="s">
        <v>462</v>
      </c>
      <c r="C15" s="180" t="s">
        <v>73</v>
      </c>
      <c r="D15" s="180" t="s">
        <v>89</v>
      </c>
      <c r="E15" s="195" t="s">
        <v>141</v>
      </c>
      <c r="F15" s="180" t="s">
        <v>142</v>
      </c>
      <c r="G15" s="180" t="s">
        <v>463</v>
      </c>
      <c r="H15" s="180" t="s">
        <v>70</v>
      </c>
      <c r="I15" s="183">
        <v>0.43</v>
      </c>
      <c r="J15" s="180" t="s">
        <v>426</v>
      </c>
      <c r="K15" s="228">
        <v>895431</v>
      </c>
      <c r="L15" s="198">
        <f>ROUNDDOWN(K15*N15,0)</f>
        <v>537258</v>
      </c>
      <c r="M15" s="198">
        <f t="shared" si="14"/>
        <v>358173</v>
      </c>
      <c r="N15" s="234">
        <v>0.6</v>
      </c>
      <c r="O15" s="198">
        <v>0</v>
      </c>
      <c r="P15" s="198">
        <v>0</v>
      </c>
      <c r="Q15" s="198">
        <v>0</v>
      </c>
      <c r="R15" s="198">
        <v>24000</v>
      </c>
      <c r="S15" s="198">
        <v>513258</v>
      </c>
      <c r="T15" s="198"/>
      <c r="U15" s="198"/>
      <c r="V15" s="198"/>
      <c r="W15" s="198"/>
      <c r="X15" s="198"/>
      <c r="Y15" s="173" t="b">
        <f t="shared" si="8"/>
        <v>1</v>
      </c>
      <c r="Z15" s="188">
        <f t="shared" si="9"/>
        <v>0.6</v>
      </c>
      <c r="AA15" s="189" t="b">
        <f t="shared" si="10"/>
        <v>1</v>
      </c>
      <c r="AB15" s="189" t="b">
        <f t="shared" si="11"/>
        <v>1</v>
      </c>
    </row>
    <row r="16" spans="1:28" ht="54.75" customHeight="1" x14ac:dyDescent="0.25">
      <c r="A16" s="200">
        <v>14</v>
      </c>
      <c r="B16" s="201" t="s">
        <v>464</v>
      </c>
      <c r="C16" s="201" t="s">
        <v>56</v>
      </c>
      <c r="D16" s="201" t="s">
        <v>336</v>
      </c>
      <c r="E16" s="202" t="s">
        <v>148</v>
      </c>
      <c r="F16" s="201" t="s">
        <v>66</v>
      </c>
      <c r="G16" s="201" t="s">
        <v>465</v>
      </c>
      <c r="H16" s="201" t="s">
        <v>69</v>
      </c>
      <c r="I16" s="203">
        <v>0.58599999999999997</v>
      </c>
      <c r="J16" s="201" t="s">
        <v>386</v>
      </c>
      <c r="K16" s="241">
        <v>2150073</v>
      </c>
      <c r="L16" s="239">
        <f t="shared" ref="L16" si="17">ROUNDDOWN(K16*N16,0)</f>
        <v>1075036</v>
      </c>
      <c r="M16" s="239">
        <f t="shared" si="14"/>
        <v>1075037</v>
      </c>
      <c r="N16" s="240">
        <v>0.5</v>
      </c>
      <c r="O16" s="208">
        <v>0</v>
      </c>
      <c r="P16" s="208">
        <v>0</v>
      </c>
      <c r="Q16" s="208">
        <v>0</v>
      </c>
      <c r="R16" s="208">
        <f t="shared" ref="R16" si="18">L16</f>
        <v>1075036</v>
      </c>
      <c r="S16" s="208"/>
      <c r="T16" s="208"/>
      <c r="U16" s="208"/>
      <c r="V16" s="208"/>
      <c r="W16" s="208"/>
      <c r="X16" s="208"/>
      <c r="Y16" s="173" t="b">
        <f t="shared" si="8"/>
        <v>1</v>
      </c>
      <c r="Z16" s="188">
        <f t="shared" si="9"/>
        <v>0.5</v>
      </c>
      <c r="AA16" s="189" t="b">
        <f t="shared" si="10"/>
        <v>1</v>
      </c>
      <c r="AB16" s="189" t="b">
        <f t="shared" si="11"/>
        <v>1</v>
      </c>
    </row>
    <row r="17" spans="1:28" ht="41.25" customHeight="1" x14ac:dyDescent="0.25">
      <c r="A17" s="199">
        <v>15</v>
      </c>
      <c r="B17" s="180" t="s">
        <v>466</v>
      </c>
      <c r="C17" s="180" t="s">
        <v>73</v>
      </c>
      <c r="D17" s="180" t="s">
        <v>215</v>
      </c>
      <c r="E17" s="195" t="s">
        <v>234</v>
      </c>
      <c r="F17" s="180" t="s">
        <v>60</v>
      </c>
      <c r="G17" s="180" t="s">
        <v>467</v>
      </c>
      <c r="H17" s="180" t="s">
        <v>69</v>
      </c>
      <c r="I17" s="183">
        <v>0.41899999999999998</v>
      </c>
      <c r="J17" s="180" t="s">
        <v>341</v>
      </c>
      <c r="K17" s="228">
        <v>2496704</v>
      </c>
      <c r="L17" s="198">
        <f>ROUNDDOWN(K17*N17,0)</f>
        <v>1248352</v>
      </c>
      <c r="M17" s="198">
        <f t="shared" si="14"/>
        <v>1248352</v>
      </c>
      <c r="N17" s="234">
        <v>0.5</v>
      </c>
      <c r="O17" s="198">
        <v>0</v>
      </c>
      <c r="P17" s="198">
        <v>0</v>
      </c>
      <c r="Q17" s="198">
        <v>0</v>
      </c>
      <c r="R17" s="198">
        <v>671689</v>
      </c>
      <c r="S17" s="198">
        <v>576663</v>
      </c>
      <c r="T17" s="198"/>
      <c r="U17" s="198"/>
      <c r="V17" s="198"/>
      <c r="W17" s="198"/>
      <c r="X17" s="198"/>
      <c r="Y17" s="173" t="b">
        <f t="shared" si="8"/>
        <v>1</v>
      </c>
      <c r="Z17" s="188">
        <f t="shared" si="9"/>
        <v>0.5</v>
      </c>
      <c r="AA17" s="189" t="b">
        <f t="shared" si="10"/>
        <v>1</v>
      </c>
      <c r="AB17" s="189" t="b">
        <f t="shared" si="11"/>
        <v>1</v>
      </c>
    </row>
    <row r="18" spans="1:28" ht="29.25" customHeight="1" x14ac:dyDescent="0.25">
      <c r="A18" s="209">
        <v>16</v>
      </c>
      <c r="B18" s="201" t="s">
        <v>468</v>
      </c>
      <c r="C18" s="209" t="s">
        <v>56</v>
      </c>
      <c r="D18" s="209" t="s">
        <v>88</v>
      </c>
      <c r="E18" s="210" t="s">
        <v>140</v>
      </c>
      <c r="F18" s="209" t="s">
        <v>66</v>
      </c>
      <c r="G18" s="209" t="s">
        <v>469</v>
      </c>
      <c r="H18" s="209" t="s">
        <v>71</v>
      </c>
      <c r="I18" s="211">
        <v>8.5000000000000006E-2</v>
      </c>
      <c r="J18" s="201" t="s">
        <v>470</v>
      </c>
      <c r="K18" s="208">
        <v>286954</v>
      </c>
      <c r="L18" s="208">
        <f t="shared" ref="L18" si="19">ROUNDDOWN(K18*N18,0)</f>
        <v>229563</v>
      </c>
      <c r="M18" s="208">
        <f t="shared" si="14"/>
        <v>57391</v>
      </c>
      <c r="N18" s="244">
        <v>0.8</v>
      </c>
      <c r="O18" s="243">
        <v>0</v>
      </c>
      <c r="P18" s="245">
        <v>0</v>
      </c>
      <c r="Q18" s="245">
        <v>0</v>
      </c>
      <c r="R18" s="245">
        <f t="shared" ref="R18" si="20">L18</f>
        <v>229563</v>
      </c>
      <c r="S18" s="245"/>
      <c r="T18" s="245"/>
      <c r="U18" s="245"/>
      <c r="V18" s="245"/>
      <c r="W18" s="245"/>
      <c r="X18" s="245"/>
      <c r="Y18" s="173" t="b">
        <f t="shared" si="8"/>
        <v>1</v>
      </c>
      <c r="Z18" s="188">
        <f t="shared" si="9"/>
        <v>0.8</v>
      </c>
      <c r="AA18" s="189" t="b">
        <f t="shared" si="10"/>
        <v>1</v>
      </c>
      <c r="AB18" s="189" t="b">
        <f t="shared" si="11"/>
        <v>1</v>
      </c>
    </row>
    <row r="19" spans="1:28" ht="33.75" customHeight="1" x14ac:dyDescent="0.25">
      <c r="A19" s="201">
        <v>17</v>
      </c>
      <c r="B19" s="201" t="s">
        <v>471</v>
      </c>
      <c r="C19" s="201" t="s">
        <v>56</v>
      </c>
      <c r="D19" s="201" t="s">
        <v>76</v>
      </c>
      <c r="E19" s="202" t="s">
        <v>125</v>
      </c>
      <c r="F19" s="201" t="s">
        <v>65</v>
      </c>
      <c r="G19" s="201" t="s">
        <v>472</v>
      </c>
      <c r="H19" s="201" t="s">
        <v>69</v>
      </c>
      <c r="I19" s="203">
        <v>0.50600000000000001</v>
      </c>
      <c r="J19" s="201" t="s">
        <v>305</v>
      </c>
      <c r="K19" s="208">
        <v>1563379</v>
      </c>
      <c r="L19" s="208">
        <f>ROUNDDOWN(K19*N19,0)</f>
        <v>1094365</v>
      </c>
      <c r="M19" s="208">
        <f t="shared" si="14"/>
        <v>469014</v>
      </c>
      <c r="N19" s="244">
        <v>0.7</v>
      </c>
      <c r="O19" s="208">
        <v>0</v>
      </c>
      <c r="P19" s="208">
        <v>0</v>
      </c>
      <c r="Q19" s="208">
        <v>0</v>
      </c>
      <c r="R19" s="208">
        <f>L19</f>
        <v>1094365</v>
      </c>
      <c r="S19" s="208"/>
      <c r="T19" s="208"/>
      <c r="U19" s="208"/>
      <c r="V19" s="208"/>
      <c r="W19" s="208"/>
      <c r="X19" s="208"/>
      <c r="Y19" s="173" t="b">
        <f t="shared" si="8"/>
        <v>1</v>
      </c>
      <c r="Z19" s="188">
        <f t="shared" si="9"/>
        <v>0.7</v>
      </c>
      <c r="AA19" s="189" t="b">
        <f t="shared" si="10"/>
        <v>1</v>
      </c>
      <c r="AB19" s="189" t="b">
        <f t="shared" si="11"/>
        <v>1</v>
      </c>
    </row>
    <row r="20" spans="1:28" ht="31.5" customHeight="1" x14ac:dyDescent="0.25">
      <c r="A20" s="201">
        <v>18</v>
      </c>
      <c r="B20" s="201" t="s">
        <v>473</v>
      </c>
      <c r="C20" s="201" t="s">
        <v>56</v>
      </c>
      <c r="D20" s="201" t="s">
        <v>101</v>
      </c>
      <c r="E20" s="202" t="s">
        <v>153</v>
      </c>
      <c r="F20" s="201" t="s">
        <v>61</v>
      </c>
      <c r="G20" s="201" t="s">
        <v>474</v>
      </c>
      <c r="H20" s="201" t="s">
        <v>69</v>
      </c>
      <c r="I20" s="203">
        <v>0.28699999999999998</v>
      </c>
      <c r="J20" s="201" t="s">
        <v>297</v>
      </c>
      <c r="K20" s="208">
        <v>1712599</v>
      </c>
      <c r="L20" s="208">
        <f>ROUNDDOWN(K20*N20,0)</f>
        <v>856299</v>
      </c>
      <c r="M20" s="208">
        <f t="shared" si="14"/>
        <v>856300</v>
      </c>
      <c r="N20" s="244">
        <v>0.5</v>
      </c>
      <c r="O20" s="208">
        <v>0</v>
      </c>
      <c r="P20" s="208">
        <v>0</v>
      </c>
      <c r="Q20" s="208">
        <v>0</v>
      </c>
      <c r="R20" s="208">
        <f t="shared" ref="R20:R21" si="21">L20</f>
        <v>856299</v>
      </c>
      <c r="S20" s="208"/>
      <c r="T20" s="208"/>
      <c r="U20" s="208"/>
      <c r="V20" s="208"/>
      <c r="W20" s="208"/>
      <c r="X20" s="208"/>
      <c r="Y20" s="173" t="b">
        <f t="shared" si="8"/>
        <v>1</v>
      </c>
      <c r="Z20" s="188">
        <f t="shared" si="9"/>
        <v>0.5</v>
      </c>
      <c r="AA20" s="189" t="b">
        <f t="shared" si="10"/>
        <v>1</v>
      </c>
      <c r="AB20" s="189" t="b">
        <f t="shared" si="11"/>
        <v>1</v>
      </c>
    </row>
    <row r="21" spans="1:28" ht="29.25" customHeight="1" x14ac:dyDescent="0.25">
      <c r="A21" s="200">
        <v>19</v>
      </c>
      <c r="B21" s="201" t="s">
        <v>475</v>
      </c>
      <c r="C21" s="201" t="s">
        <v>56</v>
      </c>
      <c r="D21" s="201" t="s">
        <v>476</v>
      </c>
      <c r="E21" s="202" t="s">
        <v>148</v>
      </c>
      <c r="F21" s="201" t="s">
        <v>66</v>
      </c>
      <c r="G21" s="201" t="s">
        <v>477</v>
      </c>
      <c r="H21" s="201" t="s">
        <v>70</v>
      </c>
      <c r="I21" s="203">
        <v>0.96799999999999997</v>
      </c>
      <c r="J21" s="201" t="s">
        <v>386</v>
      </c>
      <c r="K21" s="241">
        <v>1328192</v>
      </c>
      <c r="L21" s="239">
        <f t="shared" ref="L21:L27" si="22">ROUNDDOWN(K21*N21,0)</f>
        <v>664096</v>
      </c>
      <c r="M21" s="239">
        <f t="shared" si="14"/>
        <v>664096</v>
      </c>
      <c r="N21" s="240">
        <v>0.5</v>
      </c>
      <c r="O21" s="208">
        <v>0</v>
      </c>
      <c r="P21" s="208">
        <v>0</v>
      </c>
      <c r="Q21" s="208">
        <v>0</v>
      </c>
      <c r="R21" s="208">
        <f t="shared" si="21"/>
        <v>664096</v>
      </c>
      <c r="S21" s="208"/>
      <c r="T21" s="208"/>
      <c r="U21" s="208"/>
      <c r="V21" s="208"/>
      <c r="W21" s="208"/>
      <c r="X21" s="208"/>
      <c r="Y21" s="173" t="b">
        <f t="shared" si="8"/>
        <v>1</v>
      </c>
      <c r="Z21" s="188">
        <f t="shared" si="9"/>
        <v>0.5</v>
      </c>
      <c r="AA21" s="189" t="b">
        <f t="shared" si="10"/>
        <v>1</v>
      </c>
      <c r="AB21" s="189" t="b">
        <f t="shared" si="11"/>
        <v>1</v>
      </c>
    </row>
    <row r="22" spans="1:28" ht="33" customHeight="1" x14ac:dyDescent="0.25">
      <c r="A22" s="201">
        <v>20</v>
      </c>
      <c r="B22" s="201" t="s">
        <v>478</v>
      </c>
      <c r="C22" s="201" t="s">
        <v>56</v>
      </c>
      <c r="D22" s="201" t="s">
        <v>77</v>
      </c>
      <c r="E22" s="202" t="s">
        <v>126</v>
      </c>
      <c r="F22" s="201" t="s">
        <v>58</v>
      </c>
      <c r="G22" s="201" t="s">
        <v>479</v>
      </c>
      <c r="H22" s="201" t="s">
        <v>69</v>
      </c>
      <c r="I22" s="203">
        <v>0.66300000000000003</v>
      </c>
      <c r="J22" s="201" t="s">
        <v>480</v>
      </c>
      <c r="K22" s="208">
        <v>2319236</v>
      </c>
      <c r="L22" s="243">
        <f t="shared" si="22"/>
        <v>1159618</v>
      </c>
      <c r="M22" s="243">
        <f t="shared" si="14"/>
        <v>1159618</v>
      </c>
      <c r="N22" s="244">
        <v>0.5</v>
      </c>
      <c r="O22" s="208">
        <v>0</v>
      </c>
      <c r="P22" s="208">
        <v>0</v>
      </c>
      <c r="Q22" s="208">
        <v>0</v>
      </c>
      <c r="R22" s="208">
        <f>L22</f>
        <v>1159618</v>
      </c>
      <c r="S22" s="208"/>
      <c r="T22" s="208"/>
      <c r="U22" s="208"/>
      <c r="V22" s="208"/>
      <c r="W22" s="208"/>
      <c r="X22" s="208"/>
      <c r="Y22" s="173" t="b">
        <f t="shared" si="8"/>
        <v>1</v>
      </c>
      <c r="Z22" s="188">
        <f t="shared" si="9"/>
        <v>0.5</v>
      </c>
      <c r="AA22" s="189" t="b">
        <f t="shared" si="10"/>
        <v>1</v>
      </c>
      <c r="AB22" s="189" t="b">
        <f t="shared" si="11"/>
        <v>1</v>
      </c>
    </row>
    <row r="23" spans="1:28" ht="30.75" customHeight="1" x14ac:dyDescent="0.25">
      <c r="A23" s="180">
        <v>21</v>
      </c>
      <c r="B23" s="180" t="s">
        <v>481</v>
      </c>
      <c r="C23" s="180" t="s">
        <v>73</v>
      </c>
      <c r="D23" s="180" t="s">
        <v>84</v>
      </c>
      <c r="E23" s="195" t="s">
        <v>135</v>
      </c>
      <c r="F23" s="180" t="s">
        <v>65</v>
      </c>
      <c r="G23" s="180" t="s">
        <v>482</v>
      </c>
      <c r="H23" s="180" t="s">
        <v>69</v>
      </c>
      <c r="I23" s="183">
        <v>0.436</v>
      </c>
      <c r="J23" s="180" t="s">
        <v>412</v>
      </c>
      <c r="K23" s="235">
        <v>2626430</v>
      </c>
      <c r="L23" s="198">
        <f t="shared" si="22"/>
        <v>1313215</v>
      </c>
      <c r="M23" s="198">
        <f t="shared" si="14"/>
        <v>1313215</v>
      </c>
      <c r="N23" s="234">
        <v>0.5</v>
      </c>
      <c r="O23" s="235">
        <v>0</v>
      </c>
      <c r="P23" s="235">
        <v>0</v>
      </c>
      <c r="Q23" s="235">
        <v>0</v>
      </c>
      <c r="R23" s="235">
        <v>1000</v>
      </c>
      <c r="S23" s="235">
        <v>61318</v>
      </c>
      <c r="T23" s="235">
        <v>833931</v>
      </c>
      <c r="U23" s="235">
        <v>416966</v>
      </c>
      <c r="V23" s="235"/>
      <c r="W23" s="235"/>
      <c r="X23" s="235"/>
      <c r="Y23" s="173" t="b">
        <f t="shared" si="8"/>
        <v>1</v>
      </c>
      <c r="Z23" s="188">
        <f t="shared" si="9"/>
        <v>0.5</v>
      </c>
      <c r="AA23" s="189" t="b">
        <f t="shared" si="10"/>
        <v>1</v>
      </c>
      <c r="AB23" s="189" t="b">
        <f t="shared" si="11"/>
        <v>1</v>
      </c>
    </row>
    <row r="24" spans="1:28" ht="38.25" customHeight="1" x14ac:dyDescent="0.25">
      <c r="A24" s="209">
        <v>22</v>
      </c>
      <c r="B24" s="201" t="s">
        <v>483</v>
      </c>
      <c r="C24" s="209" t="s">
        <v>56</v>
      </c>
      <c r="D24" s="201" t="s">
        <v>78</v>
      </c>
      <c r="E24" s="202" t="s">
        <v>127</v>
      </c>
      <c r="F24" s="201" t="s">
        <v>59</v>
      </c>
      <c r="G24" s="201" t="s">
        <v>484</v>
      </c>
      <c r="H24" s="201" t="s">
        <v>70</v>
      </c>
      <c r="I24" s="203">
        <v>0.443</v>
      </c>
      <c r="J24" s="201" t="s">
        <v>267</v>
      </c>
      <c r="K24" s="208">
        <v>489785</v>
      </c>
      <c r="L24" s="208">
        <f t="shared" si="22"/>
        <v>244892</v>
      </c>
      <c r="M24" s="208">
        <f t="shared" si="14"/>
        <v>244893</v>
      </c>
      <c r="N24" s="246">
        <v>0.5</v>
      </c>
      <c r="O24" s="243">
        <v>0</v>
      </c>
      <c r="P24" s="245">
        <v>0</v>
      </c>
      <c r="Q24" s="245">
        <v>0</v>
      </c>
      <c r="R24" s="245">
        <f t="shared" ref="R24:R27" si="23">L24</f>
        <v>244892</v>
      </c>
      <c r="S24" s="245"/>
      <c r="T24" s="245"/>
      <c r="U24" s="245"/>
      <c r="V24" s="245"/>
      <c r="W24" s="245"/>
      <c r="X24" s="245"/>
      <c r="Y24" s="173" t="b">
        <f t="shared" si="8"/>
        <v>1</v>
      </c>
      <c r="Z24" s="188">
        <f t="shared" si="9"/>
        <v>0.5</v>
      </c>
      <c r="AA24" s="189" t="b">
        <f t="shared" si="10"/>
        <v>1</v>
      </c>
      <c r="AB24" s="189" t="b">
        <f t="shared" si="11"/>
        <v>1</v>
      </c>
    </row>
    <row r="25" spans="1:28" ht="30.75" customHeight="1" x14ac:dyDescent="0.25">
      <c r="A25" s="200">
        <v>23</v>
      </c>
      <c r="B25" s="201" t="s">
        <v>485</v>
      </c>
      <c r="C25" s="201" t="s">
        <v>56</v>
      </c>
      <c r="D25" s="201" t="s">
        <v>106</v>
      </c>
      <c r="E25" s="202" t="s">
        <v>159</v>
      </c>
      <c r="F25" s="201" t="s">
        <v>61</v>
      </c>
      <c r="G25" s="201" t="s">
        <v>486</v>
      </c>
      <c r="H25" s="201" t="s">
        <v>69</v>
      </c>
      <c r="I25" s="203">
        <v>0.374</v>
      </c>
      <c r="J25" s="201" t="s">
        <v>395</v>
      </c>
      <c r="K25" s="239">
        <v>487382</v>
      </c>
      <c r="L25" s="239">
        <f t="shared" si="22"/>
        <v>341167</v>
      </c>
      <c r="M25" s="239">
        <f t="shared" si="14"/>
        <v>146215</v>
      </c>
      <c r="N25" s="240">
        <v>0.7</v>
      </c>
      <c r="O25" s="208">
        <v>0</v>
      </c>
      <c r="P25" s="208">
        <v>0</v>
      </c>
      <c r="Q25" s="208">
        <v>0</v>
      </c>
      <c r="R25" s="208">
        <f t="shared" si="23"/>
        <v>341167</v>
      </c>
      <c r="S25" s="208"/>
      <c r="T25" s="208"/>
      <c r="U25" s="208"/>
      <c r="V25" s="208"/>
      <c r="W25" s="208"/>
      <c r="X25" s="208"/>
      <c r="Y25" s="173" t="b">
        <f t="shared" si="8"/>
        <v>1</v>
      </c>
      <c r="Z25" s="188">
        <f t="shared" si="9"/>
        <v>0.7</v>
      </c>
      <c r="AA25" s="189" t="b">
        <f t="shared" si="10"/>
        <v>1</v>
      </c>
      <c r="AB25" s="189" t="b">
        <f t="shared" si="11"/>
        <v>1</v>
      </c>
    </row>
    <row r="26" spans="1:28" ht="54" customHeight="1" x14ac:dyDescent="0.25">
      <c r="A26" s="200">
        <v>24</v>
      </c>
      <c r="B26" s="201" t="s">
        <v>428</v>
      </c>
      <c r="C26" s="201" t="s">
        <v>56</v>
      </c>
      <c r="D26" s="201" t="s">
        <v>97</v>
      </c>
      <c r="E26" s="202" t="s">
        <v>150</v>
      </c>
      <c r="F26" s="201" t="s">
        <v>61</v>
      </c>
      <c r="G26" s="201" t="s">
        <v>429</v>
      </c>
      <c r="H26" s="201" t="s">
        <v>69</v>
      </c>
      <c r="I26" s="203">
        <v>0.28000000000000003</v>
      </c>
      <c r="J26" s="201" t="s">
        <v>267</v>
      </c>
      <c r="K26" s="241">
        <v>681725</v>
      </c>
      <c r="L26" s="239">
        <f t="shared" si="22"/>
        <v>340862</v>
      </c>
      <c r="M26" s="239">
        <f t="shared" si="14"/>
        <v>340863</v>
      </c>
      <c r="N26" s="240">
        <v>0.5</v>
      </c>
      <c r="O26" s="208">
        <v>0</v>
      </c>
      <c r="P26" s="208">
        <v>0</v>
      </c>
      <c r="Q26" s="208">
        <v>0</v>
      </c>
      <c r="R26" s="208">
        <f t="shared" si="23"/>
        <v>340862</v>
      </c>
      <c r="S26" s="208"/>
      <c r="T26" s="208"/>
      <c r="U26" s="208"/>
      <c r="V26" s="208"/>
      <c r="W26" s="208"/>
      <c r="X26" s="208"/>
      <c r="Y26" s="173" t="b">
        <f t="shared" si="8"/>
        <v>1</v>
      </c>
      <c r="Z26" s="188">
        <f t="shared" si="9"/>
        <v>0.5</v>
      </c>
      <c r="AA26" s="189" t="b">
        <f t="shared" si="10"/>
        <v>1</v>
      </c>
      <c r="AB26" s="189" t="b">
        <f t="shared" si="11"/>
        <v>1</v>
      </c>
    </row>
    <row r="27" spans="1:28" ht="29.25" customHeight="1" x14ac:dyDescent="0.25">
      <c r="A27" s="201">
        <v>25</v>
      </c>
      <c r="B27" s="201" t="s">
        <v>487</v>
      </c>
      <c r="C27" s="201" t="s">
        <v>56</v>
      </c>
      <c r="D27" s="201" t="s">
        <v>88</v>
      </c>
      <c r="E27" s="202" t="s">
        <v>140</v>
      </c>
      <c r="F27" s="201" t="s">
        <v>66</v>
      </c>
      <c r="G27" s="201" t="s">
        <v>488</v>
      </c>
      <c r="H27" s="201" t="s">
        <v>71</v>
      </c>
      <c r="I27" s="203">
        <v>0.22</v>
      </c>
      <c r="J27" s="201" t="s">
        <v>489</v>
      </c>
      <c r="K27" s="208">
        <v>497896</v>
      </c>
      <c r="L27" s="208">
        <f t="shared" si="22"/>
        <v>398316</v>
      </c>
      <c r="M27" s="208">
        <f t="shared" si="14"/>
        <v>99580</v>
      </c>
      <c r="N27" s="244">
        <v>0.8</v>
      </c>
      <c r="O27" s="243">
        <v>0</v>
      </c>
      <c r="P27" s="245">
        <v>0</v>
      </c>
      <c r="Q27" s="245">
        <v>0</v>
      </c>
      <c r="R27" s="245">
        <f t="shared" si="23"/>
        <v>398316</v>
      </c>
      <c r="S27" s="245"/>
      <c r="T27" s="245"/>
      <c r="U27" s="245"/>
      <c r="V27" s="245"/>
      <c r="W27" s="245"/>
      <c r="X27" s="245"/>
      <c r="Y27" s="173" t="b">
        <f t="shared" si="8"/>
        <v>1</v>
      </c>
      <c r="Z27" s="188">
        <f t="shared" si="9"/>
        <v>0.8</v>
      </c>
      <c r="AA27" s="189" t="b">
        <f t="shared" si="10"/>
        <v>1</v>
      </c>
      <c r="AB27" s="189" t="b">
        <f t="shared" si="11"/>
        <v>1</v>
      </c>
    </row>
    <row r="28" spans="1:28" ht="36" x14ac:dyDescent="0.25">
      <c r="A28" s="201">
        <v>26</v>
      </c>
      <c r="B28" s="201" t="s">
        <v>490</v>
      </c>
      <c r="C28" s="201" t="s">
        <v>56</v>
      </c>
      <c r="D28" s="201" t="s">
        <v>74</v>
      </c>
      <c r="E28" s="202" t="s">
        <v>122</v>
      </c>
      <c r="F28" s="201" t="s">
        <v>62</v>
      </c>
      <c r="G28" s="201" t="s">
        <v>491</v>
      </c>
      <c r="H28" s="201" t="s">
        <v>69</v>
      </c>
      <c r="I28" s="203">
        <v>1.52</v>
      </c>
      <c r="J28" s="201" t="s">
        <v>492</v>
      </c>
      <c r="K28" s="208">
        <v>1795846</v>
      </c>
      <c r="L28" s="208">
        <f>ROUNDDOWN(K28*N28,0)</f>
        <v>1257092</v>
      </c>
      <c r="M28" s="208">
        <f t="shared" si="14"/>
        <v>538754</v>
      </c>
      <c r="N28" s="244">
        <v>0.7</v>
      </c>
      <c r="O28" s="208">
        <v>0</v>
      </c>
      <c r="P28" s="208">
        <v>0</v>
      </c>
      <c r="Q28" s="208">
        <v>0</v>
      </c>
      <c r="R28" s="208">
        <f>L28</f>
        <v>1257092</v>
      </c>
      <c r="S28" s="208"/>
      <c r="T28" s="208"/>
      <c r="U28" s="208"/>
      <c r="V28" s="208"/>
      <c r="W28" s="208"/>
      <c r="X28" s="208"/>
      <c r="Y28" s="173" t="b">
        <f t="shared" si="8"/>
        <v>1</v>
      </c>
      <c r="Z28" s="188">
        <f t="shared" si="9"/>
        <v>0.7</v>
      </c>
      <c r="AA28" s="189" t="b">
        <f t="shared" si="10"/>
        <v>1</v>
      </c>
      <c r="AB28" s="189" t="b">
        <f t="shared" si="11"/>
        <v>1</v>
      </c>
    </row>
    <row r="29" spans="1:28" ht="35.25" customHeight="1" x14ac:dyDescent="0.25">
      <c r="A29" s="209">
        <v>27</v>
      </c>
      <c r="B29" s="201" t="s">
        <v>421</v>
      </c>
      <c r="C29" s="209" t="s">
        <v>56</v>
      </c>
      <c r="D29" s="209" t="s">
        <v>218</v>
      </c>
      <c r="E29" s="210" t="s">
        <v>235</v>
      </c>
      <c r="F29" s="209" t="s">
        <v>132</v>
      </c>
      <c r="G29" s="209" t="s">
        <v>422</v>
      </c>
      <c r="H29" s="209" t="s">
        <v>70</v>
      </c>
      <c r="I29" s="211">
        <v>0.312</v>
      </c>
      <c r="J29" s="201" t="s">
        <v>423</v>
      </c>
      <c r="K29" s="208">
        <v>835457</v>
      </c>
      <c r="L29" s="208">
        <f t="shared" ref="L29:L36" si="24">ROUNDDOWN(K29*N29,0)</f>
        <v>501274</v>
      </c>
      <c r="M29" s="208">
        <f t="shared" si="14"/>
        <v>334183</v>
      </c>
      <c r="N29" s="246">
        <v>0.6</v>
      </c>
      <c r="O29" s="243">
        <v>0</v>
      </c>
      <c r="P29" s="245">
        <v>0</v>
      </c>
      <c r="Q29" s="245">
        <v>0</v>
      </c>
      <c r="R29" s="245">
        <f t="shared" ref="R29:R37" si="25">L29</f>
        <v>501274</v>
      </c>
      <c r="S29" s="245"/>
      <c r="T29" s="245"/>
      <c r="U29" s="245"/>
      <c r="V29" s="245"/>
      <c r="W29" s="245"/>
      <c r="X29" s="245"/>
      <c r="Y29" s="173" t="b">
        <f t="shared" si="8"/>
        <v>1</v>
      </c>
      <c r="Z29" s="188">
        <f t="shared" si="9"/>
        <v>0.6</v>
      </c>
      <c r="AA29" s="189" t="b">
        <f t="shared" si="10"/>
        <v>1</v>
      </c>
      <c r="AB29" s="189" t="b">
        <f t="shared" si="11"/>
        <v>1</v>
      </c>
    </row>
    <row r="30" spans="1:28" ht="29.25" customHeight="1" x14ac:dyDescent="0.25">
      <c r="A30" s="200">
        <v>28</v>
      </c>
      <c r="B30" s="201" t="s">
        <v>493</v>
      </c>
      <c r="C30" s="201" t="s">
        <v>56</v>
      </c>
      <c r="D30" s="201" t="s">
        <v>87</v>
      </c>
      <c r="E30" s="202" t="s">
        <v>138</v>
      </c>
      <c r="F30" s="201" t="s">
        <v>65</v>
      </c>
      <c r="G30" s="201" t="s">
        <v>494</v>
      </c>
      <c r="H30" s="201" t="s">
        <v>70</v>
      </c>
      <c r="I30" s="203">
        <v>0.16800000000000001</v>
      </c>
      <c r="J30" s="201" t="s">
        <v>495</v>
      </c>
      <c r="K30" s="239">
        <v>388921</v>
      </c>
      <c r="L30" s="239">
        <f t="shared" si="24"/>
        <v>194460</v>
      </c>
      <c r="M30" s="239">
        <f t="shared" si="14"/>
        <v>194461</v>
      </c>
      <c r="N30" s="240">
        <v>0.5</v>
      </c>
      <c r="O30" s="208">
        <v>0</v>
      </c>
      <c r="P30" s="208">
        <v>0</v>
      </c>
      <c r="Q30" s="208">
        <v>0</v>
      </c>
      <c r="R30" s="208">
        <f t="shared" si="25"/>
        <v>194460</v>
      </c>
      <c r="S30" s="208"/>
      <c r="T30" s="208"/>
      <c r="U30" s="208"/>
      <c r="V30" s="208"/>
      <c r="W30" s="208"/>
      <c r="X30" s="208"/>
      <c r="Y30" s="173" t="b">
        <f t="shared" si="8"/>
        <v>1</v>
      </c>
      <c r="Z30" s="188">
        <f t="shared" si="9"/>
        <v>0.5</v>
      </c>
      <c r="AA30" s="189" t="b">
        <f t="shared" si="10"/>
        <v>1</v>
      </c>
      <c r="AB30" s="189" t="b">
        <f t="shared" si="11"/>
        <v>1</v>
      </c>
    </row>
    <row r="31" spans="1:28" ht="34.5" customHeight="1" x14ac:dyDescent="0.25">
      <c r="A31" s="201">
        <v>29</v>
      </c>
      <c r="B31" s="201" t="s">
        <v>496</v>
      </c>
      <c r="C31" s="201" t="s">
        <v>56</v>
      </c>
      <c r="D31" s="201" t="s">
        <v>205</v>
      </c>
      <c r="E31" s="202" t="s">
        <v>155</v>
      </c>
      <c r="F31" s="201" t="s">
        <v>66</v>
      </c>
      <c r="G31" s="201" t="s">
        <v>497</v>
      </c>
      <c r="H31" s="201" t="s">
        <v>71</v>
      </c>
      <c r="I31" s="203">
        <v>1.726</v>
      </c>
      <c r="J31" s="201" t="s">
        <v>498</v>
      </c>
      <c r="K31" s="208">
        <v>1430397</v>
      </c>
      <c r="L31" s="243">
        <f t="shared" si="24"/>
        <v>1001277</v>
      </c>
      <c r="M31" s="243">
        <f t="shared" si="14"/>
        <v>429120</v>
      </c>
      <c r="N31" s="244">
        <v>0.7</v>
      </c>
      <c r="O31" s="243">
        <v>0</v>
      </c>
      <c r="P31" s="245">
        <v>0</v>
      </c>
      <c r="Q31" s="245">
        <v>0</v>
      </c>
      <c r="R31" s="245">
        <f t="shared" si="25"/>
        <v>1001277</v>
      </c>
      <c r="S31" s="245"/>
      <c r="T31" s="245"/>
      <c r="U31" s="245"/>
      <c r="V31" s="245"/>
      <c r="W31" s="245"/>
      <c r="X31" s="245"/>
      <c r="Y31" s="173" t="b">
        <f t="shared" si="8"/>
        <v>1</v>
      </c>
      <c r="Z31" s="188">
        <f t="shared" si="9"/>
        <v>0.7</v>
      </c>
      <c r="AA31" s="189" t="b">
        <f t="shared" si="10"/>
        <v>1</v>
      </c>
      <c r="AB31" s="189" t="b">
        <f t="shared" si="11"/>
        <v>1</v>
      </c>
    </row>
    <row r="32" spans="1:28" ht="34.5" customHeight="1" x14ac:dyDescent="0.25">
      <c r="A32" s="201">
        <v>30</v>
      </c>
      <c r="B32" s="201" t="s">
        <v>499</v>
      </c>
      <c r="C32" s="201" t="s">
        <v>56</v>
      </c>
      <c r="D32" s="201" t="s">
        <v>206</v>
      </c>
      <c r="E32" s="202" t="s">
        <v>232</v>
      </c>
      <c r="F32" s="201" t="s">
        <v>61</v>
      </c>
      <c r="G32" s="201" t="s">
        <v>500</v>
      </c>
      <c r="H32" s="201" t="s">
        <v>70</v>
      </c>
      <c r="I32" s="203">
        <v>0.44800000000000001</v>
      </c>
      <c r="J32" s="201" t="s">
        <v>495</v>
      </c>
      <c r="K32" s="208">
        <v>719730</v>
      </c>
      <c r="L32" s="243">
        <f t="shared" si="24"/>
        <v>431838</v>
      </c>
      <c r="M32" s="243">
        <f t="shared" si="14"/>
        <v>287892</v>
      </c>
      <c r="N32" s="244">
        <v>0.6</v>
      </c>
      <c r="O32" s="243">
        <v>0</v>
      </c>
      <c r="P32" s="245">
        <v>0</v>
      </c>
      <c r="Q32" s="245">
        <v>0</v>
      </c>
      <c r="R32" s="245">
        <f t="shared" si="25"/>
        <v>431838</v>
      </c>
      <c r="S32" s="245"/>
      <c r="T32" s="245"/>
      <c r="U32" s="245"/>
      <c r="V32" s="245"/>
      <c r="W32" s="245"/>
      <c r="X32" s="245"/>
      <c r="Y32" s="173" t="b">
        <f t="shared" si="8"/>
        <v>1</v>
      </c>
      <c r="Z32" s="188">
        <f t="shared" si="9"/>
        <v>0.6</v>
      </c>
      <c r="AA32" s="189" t="b">
        <f t="shared" si="10"/>
        <v>1</v>
      </c>
      <c r="AB32" s="189" t="b">
        <f t="shared" si="11"/>
        <v>1</v>
      </c>
    </row>
    <row r="33" spans="1:28" ht="34.5" customHeight="1" x14ac:dyDescent="0.25">
      <c r="A33" s="209">
        <v>31</v>
      </c>
      <c r="B33" s="201" t="s">
        <v>437</v>
      </c>
      <c r="C33" s="209" t="s">
        <v>56</v>
      </c>
      <c r="D33" s="209" t="s">
        <v>83</v>
      </c>
      <c r="E33" s="210" t="s">
        <v>134</v>
      </c>
      <c r="F33" s="209" t="s">
        <v>59</v>
      </c>
      <c r="G33" s="209" t="s">
        <v>438</v>
      </c>
      <c r="H33" s="209" t="s">
        <v>70</v>
      </c>
      <c r="I33" s="211">
        <v>0.16600000000000001</v>
      </c>
      <c r="J33" s="201" t="s">
        <v>415</v>
      </c>
      <c r="K33" s="208">
        <v>422535</v>
      </c>
      <c r="L33" s="208">
        <f t="shared" si="24"/>
        <v>338028</v>
      </c>
      <c r="M33" s="208">
        <f t="shared" si="14"/>
        <v>84507</v>
      </c>
      <c r="N33" s="246">
        <v>0.8</v>
      </c>
      <c r="O33" s="243">
        <v>0</v>
      </c>
      <c r="P33" s="245">
        <v>0</v>
      </c>
      <c r="Q33" s="245">
        <v>0</v>
      </c>
      <c r="R33" s="245">
        <f t="shared" si="25"/>
        <v>338028</v>
      </c>
      <c r="S33" s="245"/>
      <c r="T33" s="245"/>
      <c r="U33" s="245"/>
      <c r="V33" s="245"/>
      <c r="W33" s="245"/>
      <c r="X33" s="245"/>
      <c r="Y33" s="173" t="b">
        <f t="shared" si="8"/>
        <v>1</v>
      </c>
      <c r="Z33" s="188">
        <f t="shared" si="9"/>
        <v>0.8</v>
      </c>
      <c r="AA33" s="189" t="b">
        <f t="shared" si="10"/>
        <v>1</v>
      </c>
      <c r="AB33" s="189" t="b">
        <f t="shared" si="11"/>
        <v>1</v>
      </c>
    </row>
    <row r="34" spans="1:28" ht="29.25" customHeight="1" x14ac:dyDescent="0.25">
      <c r="A34" s="201">
        <v>32</v>
      </c>
      <c r="B34" s="201" t="s">
        <v>501</v>
      </c>
      <c r="C34" s="201" t="s">
        <v>56</v>
      </c>
      <c r="D34" s="201" t="s">
        <v>206</v>
      </c>
      <c r="E34" s="202" t="s">
        <v>232</v>
      </c>
      <c r="F34" s="201" t="s">
        <v>61</v>
      </c>
      <c r="G34" s="201" t="s">
        <v>502</v>
      </c>
      <c r="H34" s="201" t="s">
        <v>70</v>
      </c>
      <c r="I34" s="203">
        <v>0.70199999999999996</v>
      </c>
      <c r="J34" s="201" t="s">
        <v>495</v>
      </c>
      <c r="K34" s="208">
        <v>927336</v>
      </c>
      <c r="L34" s="208">
        <f t="shared" si="24"/>
        <v>556401</v>
      </c>
      <c r="M34" s="208">
        <f t="shared" si="14"/>
        <v>370935</v>
      </c>
      <c r="N34" s="244">
        <v>0.6</v>
      </c>
      <c r="O34" s="243">
        <v>0</v>
      </c>
      <c r="P34" s="245">
        <v>0</v>
      </c>
      <c r="Q34" s="245">
        <v>0</v>
      </c>
      <c r="R34" s="245">
        <f t="shared" si="25"/>
        <v>556401</v>
      </c>
      <c r="S34" s="245"/>
      <c r="T34" s="245"/>
      <c r="U34" s="245"/>
      <c r="V34" s="245"/>
      <c r="W34" s="245"/>
      <c r="X34" s="245"/>
      <c r="Y34" s="173" t="b">
        <f t="shared" si="8"/>
        <v>1</v>
      </c>
      <c r="Z34" s="188">
        <f t="shared" si="9"/>
        <v>0.6</v>
      </c>
      <c r="AA34" s="189" t="b">
        <f t="shared" si="10"/>
        <v>1</v>
      </c>
      <c r="AB34" s="189" t="b">
        <f t="shared" si="11"/>
        <v>1</v>
      </c>
    </row>
    <row r="35" spans="1:28" ht="29.25" customHeight="1" x14ac:dyDescent="0.25">
      <c r="A35" s="209">
        <v>33</v>
      </c>
      <c r="B35" s="201" t="s">
        <v>503</v>
      </c>
      <c r="C35" s="209" t="s">
        <v>56</v>
      </c>
      <c r="D35" s="209" t="s">
        <v>205</v>
      </c>
      <c r="E35" s="210" t="s">
        <v>155</v>
      </c>
      <c r="F35" s="209" t="s">
        <v>66</v>
      </c>
      <c r="G35" s="273" t="s">
        <v>504</v>
      </c>
      <c r="H35" s="209" t="s">
        <v>71</v>
      </c>
      <c r="I35" s="211">
        <v>1.155</v>
      </c>
      <c r="J35" s="209" t="s">
        <v>498</v>
      </c>
      <c r="K35" s="208">
        <v>569601</v>
      </c>
      <c r="L35" s="245">
        <f t="shared" si="24"/>
        <v>398720</v>
      </c>
      <c r="M35" s="245">
        <f t="shared" si="14"/>
        <v>170881</v>
      </c>
      <c r="N35" s="246">
        <v>0.7</v>
      </c>
      <c r="O35" s="243">
        <v>0</v>
      </c>
      <c r="P35" s="245">
        <v>0</v>
      </c>
      <c r="Q35" s="245">
        <v>0</v>
      </c>
      <c r="R35" s="245">
        <f t="shared" si="25"/>
        <v>398720</v>
      </c>
      <c r="S35" s="245"/>
      <c r="T35" s="245"/>
      <c r="U35" s="245"/>
      <c r="V35" s="245"/>
      <c r="W35" s="245"/>
      <c r="X35" s="245"/>
      <c r="Y35" s="173" t="b">
        <f t="shared" si="8"/>
        <v>1</v>
      </c>
      <c r="Z35" s="188">
        <f t="shared" si="9"/>
        <v>0.7</v>
      </c>
      <c r="AA35" s="189" t="b">
        <f t="shared" si="10"/>
        <v>1</v>
      </c>
      <c r="AB35" s="189" t="b">
        <f t="shared" si="11"/>
        <v>1</v>
      </c>
    </row>
    <row r="36" spans="1:28" ht="29.25" customHeight="1" x14ac:dyDescent="0.25">
      <c r="A36" s="200">
        <v>34</v>
      </c>
      <c r="B36" s="201" t="s">
        <v>505</v>
      </c>
      <c r="C36" s="201" t="s">
        <v>56</v>
      </c>
      <c r="D36" s="201" t="s">
        <v>105</v>
      </c>
      <c r="E36" s="202" t="s">
        <v>158</v>
      </c>
      <c r="F36" s="201" t="s">
        <v>65</v>
      </c>
      <c r="G36" s="201" t="s">
        <v>506</v>
      </c>
      <c r="H36" s="201" t="s">
        <v>70</v>
      </c>
      <c r="I36" s="203">
        <v>0.17</v>
      </c>
      <c r="J36" s="201" t="s">
        <v>492</v>
      </c>
      <c r="K36" s="239">
        <v>165236</v>
      </c>
      <c r="L36" s="239">
        <f t="shared" si="24"/>
        <v>115665</v>
      </c>
      <c r="M36" s="239">
        <f t="shared" si="14"/>
        <v>49571</v>
      </c>
      <c r="N36" s="240">
        <v>0.7</v>
      </c>
      <c r="O36" s="208">
        <v>0</v>
      </c>
      <c r="P36" s="208">
        <v>0</v>
      </c>
      <c r="Q36" s="208">
        <v>0</v>
      </c>
      <c r="R36" s="208">
        <f t="shared" si="25"/>
        <v>115665</v>
      </c>
      <c r="S36" s="208"/>
      <c r="T36" s="208"/>
      <c r="U36" s="208"/>
      <c r="V36" s="208"/>
      <c r="W36" s="208"/>
      <c r="X36" s="208"/>
      <c r="Y36" s="173" t="b">
        <f t="shared" si="8"/>
        <v>1</v>
      </c>
      <c r="Z36" s="188">
        <f t="shared" si="9"/>
        <v>0.7</v>
      </c>
      <c r="AA36" s="189" t="b">
        <f t="shared" si="10"/>
        <v>1</v>
      </c>
      <c r="AB36" s="189" t="b">
        <f t="shared" si="11"/>
        <v>1</v>
      </c>
    </row>
    <row r="37" spans="1:28" ht="37.5" customHeight="1" x14ac:dyDescent="0.25">
      <c r="A37" s="201">
        <v>35</v>
      </c>
      <c r="B37" s="201" t="s">
        <v>507</v>
      </c>
      <c r="C37" s="201" t="s">
        <v>56</v>
      </c>
      <c r="D37" s="201" t="s">
        <v>96</v>
      </c>
      <c r="E37" s="202" t="s">
        <v>149</v>
      </c>
      <c r="F37" s="201" t="s">
        <v>62</v>
      </c>
      <c r="G37" s="201" t="s">
        <v>508</v>
      </c>
      <c r="H37" s="201" t="s">
        <v>70</v>
      </c>
      <c r="I37" s="203">
        <v>0.192</v>
      </c>
      <c r="J37" s="201" t="s">
        <v>386</v>
      </c>
      <c r="K37" s="208">
        <v>1048999</v>
      </c>
      <c r="L37" s="208">
        <f>ROUNDDOWN(K37*N37,0)</f>
        <v>524499</v>
      </c>
      <c r="M37" s="208">
        <f t="shared" si="14"/>
        <v>524500</v>
      </c>
      <c r="N37" s="244">
        <v>0.5</v>
      </c>
      <c r="O37" s="208">
        <v>0</v>
      </c>
      <c r="P37" s="208">
        <v>0</v>
      </c>
      <c r="Q37" s="208">
        <v>0</v>
      </c>
      <c r="R37" s="208">
        <f t="shared" si="25"/>
        <v>524499</v>
      </c>
      <c r="S37" s="208"/>
      <c r="T37" s="208"/>
      <c r="U37" s="208"/>
      <c r="V37" s="208"/>
      <c r="W37" s="208"/>
      <c r="X37" s="208"/>
      <c r="Y37" s="173" t="b">
        <f t="shared" si="8"/>
        <v>1</v>
      </c>
      <c r="Z37" s="188">
        <f t="shared" si="9"/>
        <v>0.5</v>
      </c>
      <c r="AA37" s="189" t="b">
        <f t="shared" si="10"/>
        <v>1</v>
      </c>
      <c r="AB37" s="189" t="b">
        <f t="shared" si="11"/>
        <v>1</v>
      </c>
    </row>
    <row r="38" spans="1:28" ht="32.25" customHeight="1" x14ac:dyDescent="0.25">
      <c r="A38" s="201">
        <v>36</v>
      </c>
      <c r="B38" s="201" t="s">
        <v>509</v>
      </c>
      <c r="C38" s="274" t="s">
        <v>56</v>
      </c>
      <c r="D38" s="274" t="s">
        <v>198</v>
      </c>
      <c r="E38" s="275" t="s">
        <v>139</v>
      </c>
      <c r="F38" s="274" t="s">
        <v>59</v>
      </c>
      <c r="G38" s="274" t="s">
        <v>510</v>
      </c>
      <c r="H38" s="274" t="s">
        <v>70</v>
      </c>
      <c r="I38" s="276">
        <v>0.223</v>
      </c>
      <c r="J38" s="274" t="s">
        <v>480</v>
      </c>
      <c r="K38" s="277">
        <v>941201</v>
      </c>
      <c r="L38" s="208">
        <f>ROUNDDOWN(K38*N38,0)</f>
        <v>752960</v>
      </c>
      <c r="M38" s="208">
        <f t="shared" si="14"/>
        <v>188241</v>
      </c>
      <c r="N38" s="244">
        <v>0.8</v>
      </c>
      <c r="O38" s="208">
        <v>0</v>
      </c>
      <c r="P38" s="208">
        <v>0</v>
      </c>
      <c r="Q38" s="208">
        <v>0</v>
      </c>
      <c r="R38" s="208">
        <f>L38</f>
        <v>752960</v>
      </c>
      <c r="S38" s="208"/>
      <c r="T38" s="208"/>
      <c r="U38" s="208"/>
      <c r="V38" s="208"/>
      <c r="W38" s="208"/>
      <c r="X38" s="208"/>
      <c r="Y38" s="173" t="b">
        <f t="shared" si="8"/>
        <v>1</v>
      </c>
      <c r="Z38" s="188">
        <f t="shared" si="9"/>
        <v>0.8</v>
      </c>
      <c r="AA38" s="189" t="b">
        <f t="shared" si="10"/>
        <v>1</v>
      </c>
      <c r="AB38" s="189" t="b">
        <f t="shared" si="11"/>
        <v>1</v>
      </c>
    </row>
    <row r="39" spans="1:28" ht="31.5" customHeight="1" x14ac:dyDescent="0.25">
      <c r="A39" s="200">
        <v>37</v>
      </c>
      <c r="B39" s="201" t="s">
        <v>511</v>
      </c>
      <c r="C39" s="201" t="s">
        <v>56</v>
      </c>
      <c r="D39" s="201" t="s">
        <v>208</v>
      </c>
      <c r="E39" s="202" t="s">
        <v>233</v>
      </c>
      <c r="F39" s="201" t="s">
        <v>59</v>
      </c>
      <c r="G39" s="201" t="s">
        <v>512</v>
      </c>
      <c r="H39" s="201" t="s">
        <v>70</v>
      </c>
      <c r="I39" s="203">
        <v>0.83</v>
      </c>
      <c r="J39" s="201" t="s">
        <v>513</v>
      </c>
      <c r="K39" s="239">
        <v>689831</v>
      </c>
      <c r="L39" s="239">
        <f t="shared" ref="L39" si="26">ROUNDDOWN(K39*N39,0)</f>
        <v>344915</v>
      </c>
      <c r="M39" s="239">
        <f t="shared" si="14"/>
        <v>344916</v>
      </c>
      <c r="N39" s="240">
        <v>0.5</v>
      </c>
      <c r="O39" s="208">
        <v>0</v>
      </c>
      <c r="P39" s="208">
        <v>0</v>
      </c>
      <c r="Q39" s="208">
        <v>0</v>
      </c>
      <c r="R39" s="208">
        <f t="shared" ref="R39" si="27">L39</f>
        <v>344915</v>
      </c>
      <c r="S39" s="208"/>
      <c r="T39" s="208"/>
      <c r="U39" s="208"/>
      <c r="V39" s="208"/>
      <c r="W39" s="208"/>
      <c r="X39" s="208"/>
      <c r="Y39" s="173" t="b">
        <f t="shared" si="8"/>
        <v>1</v>
      </c>
      <c r="Z39" s="188">
        <f t="shared" si="9"/>
        <v>0.5</v>
      </c>
      <c r="AA39" s="189" t="b">
        <f t="shared" si="10"/>
        <v>1</v>
      </c>
      <c r="AB39" s="189" t="b">
        <f t="shared" si="11"/>
        <v>1</v>
      </c>
    </row>
    <row r="40" spans="1:28" ht="20.100000000000001" customHeight="1" x14ac:dyDescent="0.25">
      <c r="A40" s="169" t="s">
        <v>42</v>
      </c>
      <c r="B40" s="169"/>
      <c r="C40" s="169"/>
      <c r="D40" s="169"/>
      <c r="E40" s="169"/>
      <c r="F40" s="169"/>
      <c r="G40" s="169"/>
      <c r="H40" s="169"/>
      <c r="I40" s="213">
        <f>SUM(I3:I39)</f>
        <v>22.425000000000004</v>
      </c>
      <c r="J40" s="214" t="s">
        <v>13</v>
      </c>
      <c r="K40" s="215">
        <f>SUM(K3:K39)</f>
        <v>66134476</v>
      </c>
      <c r="L40" s="217">
        <f>SUM(L3:L39)</f>
        <v>37847064</v>
      </c>
      <c r="M40" s="217">
        <f>SUM(M3:M39)</f>
        <v>28287412</v>
      </c>
      <c r="N40" s="216" t="s">
        <v>13</v>
      </c>
      <c r="O40" s="258">
        <f t="shared" ref="O40:X40" si="28">SUM(O3:O39)</f>
        <v>0</v>
      </c>
      <c r="P40" s="258">
        <f t="shared" si="28"/>
        <v>0</v>
      </c>
      <c r="Q40" s="258">
        <f t="shared" si="28"/>
        <v>0</v>
      </c>
      <c r="R40" s="258">
        <f t="shared" si="28"/>
        <v>31363119</v>
      </c>
      <c r="S40" s="258">
        <f t="shared" si="28"/>
        <v>5233048</v>
      </c>
      <c r="T40" s="258">
        <f t="shared" si="28"/>
        <v>833931</v>
      </c>
      <c r="U40" s="258">
        <f t="shared" si="28"/>
        <v>416966</v>
      </c>
      <c r="V40" s="258">
        <f t="shared" si="28"/>
        <v>0</v>
      </c>
      <c r="W40" s="258">
        <f t="shared" si="28"/>
        <v>0</v>
      </c>
      <c r="X40" s="258">
        <f t="shared" si="28"/>
        <v>0</v>
      </c>
      <c r="Y40" s="173" t="b">
        <f t="shared" ref="Y40:Y42" si="29">L40=SUM(O40:X40)</f>
        <v>1</v>
      </c>
      <c r="Z40" s="188"/>
      <c r="AA40" s="189"/>
      <c r="AB40" s="189" t="b">
        <f t="shared" ref="AB40:AB42" si="30">K40=L40+M40</f>
        <v>1</v>
      </c>
    </row>
    <row r="41" spans="1:28" ht="20.100000000000001" customHeight="1" x14ac:dyDescent="0.25">
      <c r="A41" s="250" t="s">
        <v>36</v>
      </c>
      <c r="B41" s="251"/>
      <c r="C41" s="251"/>
      <c r="D41" s="251"/>
      <c r="E41" s="251"/>
      <c r="F41" s="251"/>
      <c r="G41" s="251"/>
      <c r="H41" s="252"/>
      <c r="I41" s="213">
        <f>SUMIF($C$3:$C$39,"N",I3:I39)</f>
        <v>18.446999999999999</v>
      </c>
      <c r="J41" s="214" t="s">
        <v>13</v>
      </c>
      <c r="K41" s="215">
        <f>SUMIF($C$3:$C$39,"N",K3:K39)</f>
        <v>38770221</v>
      </c>
      <c r="L41" s="217">
        <f>SUMIF($C$3:$C$39,"N",L3:L39)</f>
        <v>24075395</v>
      </c>
      <c r="M41" s="217">
        <f>SUMIF($C$3:$C$39,"N",M3:M39)</f>
        <v>14694826</v>
      </c>
      <c r="N41" s="216" t="s">
        <v>13</v>
      </c>
      <c r="O41" s="258">
        <f t="shared" ref="O41:X41" si="31">SUMIF($C$3:$C$39,"N",O3:O39)</f>
        <v>0</v>
      </c>
      <c r="P41" s="258">
        <f t="shared" si="31"/>
        <v>0</v>
      </c>
      <c r="Q41" s="258">
        <f t="shared" si="31"/>
        <v>0</v>
      </c>
      <c r="R41" s="258">
        <f t="shared" si="31"/>
        <v>24075395</v>
      </c>
      <c r="S41" s="258">
        <f t="shared" si="31"/>
        <v>0</v>
      </c>
      <c r="T41" s="258">
        <f t="shared" si="31"/>
        <v>0</v>
      </c>
      <c r="U41" s="258">
        <f t="shared" si="31"/>
        <v>0</v>
      </c>
      <c r="V41" s="258">
        <f t="shared" si="31"/>
        <v>0</v>
      </c>
      <c r="W41" s="258">
        <f t="shared" si="31"/>
        <v>0</v>
      </c>
      <c r="X41" s="258">
        <f t="shared" si="31"/>
        <v>0</v>
      </c>
      <c r="Y41" s="173" t="b">
        <f t="shared" si="29"/>
        <v>1</v>
      </c>
      <c r="Z41" s="188"/>
      <c r="AA41" s="189"/>
      <c r="AB41" s="189" t="b">
        <f t="shared" si="30"/>
        <v>1</v>
      </c>
    </row>
    <row r="42" spans="1:28" ht="20.100000000000001" customHeight="1" x14ac:dyDescent="0.25">
      <c r="A42" s="259" t="s">
        <v>37</v>
      </c>
      <c r="B42" s="259"/>
      <c r="C42" s="259"/>
      <c r="D42" s="259"/>
      <c r="E42" s="259"/>
      <c r="F42" s="259"/>
      <c r="G42" s="259"/>
      <c r="H42" s="259"/>
      <c r="I42" s="220">
        <f>SUMIF($C$3:$C$39,"W",I3:I39)</f>
        <v>3.9780000000000002</v>
      </c>
      <c r="J42" s="221" t="s">
        <v>13</v>
      </c>
      <c r="K42" s="222">
        <f>SUMIF($C$3:$C$39,"W",K3:K39)</f>
        <v>27364255</v>
      </c>
      <c r="L42" s="224">
        <f>SUMIF($C$3:$C$39,"W",L3:L39)</f>
        <v>13771669</v>
      </c>
      <c r="M42" s="224">
        <f>SUMIF($C$3:$C$39,"W",M3:M39)</f>
        <v>13592586</v>
      </c>
      <c r="N42" s="223" t="s">
        <v>13</v>
      </c>
      <c r="O42" s="260">
        <f t="shared" ref="O42:X42" si="32">SUMIF($C$3:$C$39,"W",O3:O39)</f>
        <v>0</v>
      </c>
      <c r="P42" s="260">
        <f t="shared" si="32"/>
        <v>0</v>
      </c>
      <c r="Q42" s="260">
        <f t="shared" si="32"/>
        <v>0</v>
      </c>
      <c r="R42" s="260">
        <f t="shared" si="32"/>
        <v>7287724</v>
      </c>
      <c r="S42" s="260">
        <f t="shared" si="32"/>
        <v>5233048</v>
      </c>
      <c r="T42" s="260">
        <f t="shared" si="32"/>
        <v>833931</v>
      </c>
      <c r="U42" s="260">
        <f t="shared" si="32"/>
        <v>416966</v>
      </c>
      <c r="V42" s="260">
        <f t="shared" si="32"/>
        <v>0</v>
      </c>
      <c r="W42" s="260">
        <f t="shared" si="32"/>
        <v>0</v>
      </c>
      <c r="X42" s="260">
        <f t="shared" si="32"/>
        <v>0</v>
      </c>
      <c r="Y42" s="173" t="b">
        <f t="shared" si="29"/>
        <v>1</v>
      </c>
      <c r="Z42" s="188"/>
      <c r="AA42" s="189"/>
      <c r="AB42" s="189" t="b">
        <f t="shared" si="30"/>
        <v>1</v>
      </c>
    </row>
    <row r="43" spans="1:28" x14ac:dyDescent="0.25">
      <c r="A43" s="262"/>
      <c r="AB43" s="261"/>
    </row>
    <row r="44" spans="1:28" x14ac:dyDescent="0.25">
      <c r="A44" s="264" t="s">
        <v>22</v>
      </c>
    </row>
    <row r="45" spans="1:28" x14ac:dyDescent="0.25">
      <c r="A45" s="265" t="s">
        <v>23</v>
      </c>
    </row>
    <row r="46" spans="1:28" x14ac:dyDescent="0.25">
      <c r="A46" s="264" t="s">
        <v>33</v>
      </c>
      <c r="K46" s="225"/>
    </row>
    <row r="47" spans="1:28" x14ac:dyDescent="0.25">
      <c r="A47" s="266"/>
      <c r="K47" s="225"/>
    </row>
  </sheetData>
  <mergeCells count="18">
    <mergeCell ref="O1:X1"/>
    <mergeCell ref="M1:M2"/>
    <mergeCell ref="N1:N2"/>
    <mergeCell ref="A40:H40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  <mergeCell ref="A41:H41"/>
    <mergeCell ref="D1:D2"/>
    <mergeCell ref="A42:H42"/>
    <mergeCell ref="E1:E2"/>
  </mergeCells>
  <conditionalFormatting sqref="AB43 Y40:AB42">
    <cfRule type="cellIs" dxfId="5" priority="22" operator="equal">
      <formula>FALSE</formula>
    </cfRule>
  </conditionalFormatting>
  <conditionalFormatting sqref="Y40:AA42">
    <cfRule type="containsText" dxfId="4" priority="15" operator="containsText" text="fałsz">
      <formula>NOT(ISERROR(SEARCH("fałsz",Y40)))</formula>
    </cfRule>
  </conditionalFormatting>
  <conditionalFormatting sqref="Y3:AB39">
    <cfRule type="cellIs" dxfId="1" priority="2" operator="equal">
      <formula>FALSE</formula>
    </cfRule>
  </conditionalFormatting>
  <conditionalFormatting sqref="Y3:AA39">
    <cfRule type="containsText" dxfId="0" priority="1" operator="containsText" text="fałsz">
      <formula>NOT(ISERROR(SEARCH("fałsz",Y3)))</formula>
    </cfRule>
  </conditionalFormatting>
  <dataValidations count="2">
    <dataValidation type="list" allowBlank="1" showInputMessage="1" showErrorMessage="1" sqref="H4:H39">
      <formula1>"B,P,R"</formula1>
    </dataValidation>
    <dataValidation type="list" allowBlank="1" showInputMessage="1" showErrorMessage="1" sqref="C4:C39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r:id="rId1"/>
  <headerFooter>
    <oddHeader>&amp;LWojewództwo Lubuskie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08 - lubuskie</vt:lpstr>
      <vt:lpstr>pow podst</vt:lpstr>
      <vt:lpstr>gm podst</vt:lpstr>
      <vt:lpstr>pow rez</vt:lpstr>
      <vt:lpstr>gm rez</vt:lpstr>
      <vt:lpstr>'08 - lubuskie'!Obszar_wydruku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2021-12-09T09:28:02Z</cp:lastPrinted>
  <dcterms:created xsi:type="dcterms:W3CDTF">2019-02-25T10:53:14Z</dcterms:created>
  <dcterms:modified xsi:type="dcterms:W3CDTF">2021-12-21T11:30:12Z</dcterms:modified>
</cp:coreProperties>
</file>