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D:\FDS\2024\"/>
    </mc:Choice>
  </mc:AlternateContent>
  <xr:revisionPtr revIDLastSave="0" documentId="8_{19948EE2-941F-48C6-AEAD-927B39087750}" xr6:coauthVersionLast="36" xr6:coauthVersionMax="36" xr10:uidLastSave="{00000000-0000-0000-0000-000000000000}"/>
  <bookViews>
    <workbookView xWindow="0" yWindow="0" windowWidth="28800" windowHeight="12000" xr2:uid="{00000000-000D-0000-FFFF-FFFF00000000}"/>
  </bookViews>
  <sheets>
    <sheet name="TERC - &quot;nazwa woj&quot;" sheetId="1" r:id="rId1"/>
    <sheet name="pow podst" sheetId="2" r:id="rId2"/>
    <sheet name="gm podst" sheetId="3" r:id="rId3"/>
    <sheet name="pow rez" sheetId="4" r:id="rId4"/>
    <sheet name="gm rez" sheetId="5" r:id="rId5"/>
  </sheets>
  <definedNames>
    <definedName name="_xlnm._FilterDatabase" localSheetId="2" hidden="1">'gm podst'!$A$2:$AD$65</definedName>
    <definedName name="_xlnm._FilterDatabase" localSheetId="4" hidden="1">'gm rez'!$A$2:$AD$23</definedName>
    <definedName name="_xlnm._FilterDatabase" localSheetId="1" hidden="1">'pow podst'!$A$1:$AC$19</definedName>
    <definedName name="_xlnm.Print_Area" localSheetId="2">'gm podst'!$A$1:$Z$70</definedName>
    <definedName name="_xlnm.Print_Area" localSheetId="4">'gm rez'!$A$1:$Z$27</definedName>
    <definedName name="_xlnm.Print_Area" localSheetId="1">'pow podst'!$A$1:$Y$19</definedName>
    <definedName name="_xlnm.Print_Area" localSheetId="3">'pow rez'!$A$1:$Y$12</definedName>
    <definedName name="_xlnm.Print_Area" localSheetId="0">'TERC - "nazwa woj"'!$A$1:$Q$36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  <definedName name="Z_B3D4E81D_6BD4_4F4D_89DF_426FDC333056_.wvu.FilterData" localSheetId="2" hidden="1">'gm podst'!$A$2:$AD$65</definedName>
    <definedName name="Z_B3D4E81D_6BD4_4F4D_89DF_426FDC333056_.wvu.FilterData" localSheetId="1" hidden="1">'pow podst'!$A$1:$AC$19</definedName>
    <definedName name="Z_B4405FF1_036B_45AD_810F_8C9DF67F9D7F_.wvu.FilterData" localSheetId="2" hidden="1">'gm podst'!$A$2:$AD$65</definedName>
    <definedName name="Z_B4405FF1_036B_45AD_810F_8C9DF67F9D7F_.wvu.FilterData" localSheetId="1" hidden="1">'pow podst'!$A$1:$AC$19</definedName>
    <definedName name="Z_B4405FF1_036B_45AD_810F_8C9DF67F9D7F_.wvu.PrintArea" localSheetId="2" hidden="1">'gm podst'!$A$1:$Z$70</definedName>
    <definedName name="Z_B4405FF1_036B_45AD_810F_8C9DF67F9D7F_.wvu.PrintArea" localSheetId="4" hidden="1">'gm rez'!$A$1:$Z$27</definedName>
    <definedName name="Z_B4405FF1_036B_45AD_810F_8C9DF67F9D7F_.wvu.PrintArea" localSheetId="1" hidden="1">'pow podst'!$A$1:$Y$19</definedName>
    <definedName name="Z_B4405FF1_036B_45AD_810F_8C9DF67F9D7F_.wvu.PrintArea" localSheetId="3" hidden="1">'pow rez'!$A$1:$Y$12</definedName>
    <definedName name="Z_B4405FF1_036B_45AD_810F_8C9DF67F9D7F_.wvu.PrintArea" localSheetId="0" hidden="1">'TERC - "nazwa woj"'!$A$1:$Q$36</definedName>
    <definedName name="Z_B4405FF1_036B_45AD_810F_8C9DF67F9D7F_.wvu.PrintTitles" localSheetId="2" hidden="1">'gm podst'!$1:$2</definedName>
    <definedName name="Z_B4405FF1_036B_45AD_810F_8C9DF67F9D7F_.wvu.PrintTitles" localSheetId="4" hidden="1">'gm rez'!$1:$2</definedName>
    <definedName name="Z_B4405FF1_036B_45AD_810F_8C9DF67F9D7F_.wvu.PrintTitles" localSheetId="1" hidden="1">'pow podst'!$1:$2</definedName>
    <definedName name="Z_B4405FF1_036B_45AD_810F_8C9DF67F9D7F_.wvu.PrintTitles" localSheetId="3" hidden="1">'pow rez'!$1:$2</definedName>
    <definedName name="Z_C76DCD22_0DC9_4799_A058_B64B837BBA0E_.wvu.FilterData" localSheetId="2" hidden="1">'gm podst'!$A$2:$AD$65</definedName>
    <definedName name="Z_C76DCD22_0DC9_4799_A058_B64B837BBA0E_.wvu.FilterData" localSheetId="1" hidden="1">'pow podst'!$A$1:$AC$19</definedName>
    <definedName name="Z_C76DCD22_0DC9_4799_A058_B64B837BBA0E_.wvu.PrintArea" localSheetId="2" hidden="1">'gm podst'!$A$1:$Z$70</definedName>
    <definedName name="Z_C76DCD22_0DC9_4799_A058_B64B837BBA0E_.wvu.PrintArea" localSheetId="4" hidden="1">'gm rez'!$A$1:$Z$27</definedName>
    <definedName name="Z_C76DCD22_0DC9_4799_A058_B64B837BBA0E_.wvu.PrintArea" localSheetId="1" hidden="1">'pow podst'!$A$1:$Y$19</definedName>
    <definedName name="Z_C76DCD22_0DC9_4799_A058_B64B837BBA0E_.wvu.PrintArea" localSheetId="3" hidden="1">'pow rez'!$A$1:$Y$12</definedName>
    <definedName name="Z_C76DCD22_0DC9_4799_A058_B64B837BBA0E_.wvu.PrintArea" localSheetId="0" hidden="1">'TERC - "nazwa woj"'!$A$1:$Q$36</definedName>
    <definedName name="Z_C76DCD22_0DC9_4799_A058_B64B837BBA0E_.wvu.PrintTitles" localSheetId="2" hidden="1">'gm podst'!$1:$2</definedName>
    <definedName name="Z_C76DCD22_0DC9_4799_A058_B64B837BBA0E_.wvu.PrintTitles" localSheetId="4" hidden="1">'gm rez'!$1:$2</definedName>
    <definedName name="Z_C76DCD22_0DC9_4799_A058_B64B837BBA0E_.wvu.PrintTitles" localSheetId="1" hidden="1">'pow podst'!$1:$2</definedName>
    <definedName name="Z_C76DCD22_0DC9_4799_A058_B64B837BBA0E_.wvu.PrintTitles" localSheetId="3" hidden="1">'pow rez'!$1:$2</definedName>
    <definedName name="Z_C781238C_4222_437A_A3FC_3CB220927BA7_.wvu.FilterData" localSheetId="1" hidden="1">'pow podst'!$A$1:$AC$19</definedName>
    <definedName name="Z_CB410AB3_2DDF_47B7_B021_1F68EEA98257_.wvu.Cols" localSheetId="2" hidden="1">'gm podst'!$O:$R</definedName>
    <definedName name="Z_CB410AB3_2DDF_47B7_B021_1F68EEA98257_.wvu.FilterData" localSheetId="2" hidden="1">'gm podst'!$A$2:$AD$65</definedName>
    <definedName name="Z_CB410AB3_2DDF_47B7_B021_1F68EEA98257_.wvu.FilterData" localSheetId="4" hidden="1">'gm rez'!$A$2:$AD$23</definedName>
    <definedName name="Z_CB410AB3_2DDF_47B7_B021_1F68EEA98257_.wvu.FilterData" localSheetId="1" hidden="1">'pow podst'!$A$1:$AC$19</definedName>
    <definedName name="Z_CB410AB3_2DDF_47B7_B021_1F68EEA98257_.wvu.PrintArea" localSheetId="2" hidden="1">'gm podst'!$A$1:$Z$70</definedName>
    <definedName name="Z_CB410AB3_2DDF_47B7_B021_1F68EEA98257_.wvu.PrintArea" localSheetId="4" hidden="1">'gm rez'!$A$1:$Z$27</definedName>
    <definedName name="Z_CB410AB3_2DDF_47B7_B021_1F68EEA98257_.wvu.PrintArea" localSheetId="1" hidden="1">'pow podst'!$A$1:$Y$19</definedName>
    <definedName name="Z_CB410AB3_2DDF_47B7_B021_1F68EEA98257_.wvu.PrintArea" localSheetId="3" hidden="1">'pow rez'!$A$1:$Y$12</definedName>
    <definedName name="Z_CB410AB3_2DDF_47B7_B021_1F68EEA98257_.wvu.PrintArea" localSheetId="0" hidden="1">'TERC - "nazwa woj"'!$A$1:$Q$36</definedName>
    <definedName name="Z_CB410AB3_2DDF_47B7_B021_1F68EEA98257_.wvu.PrintTitles" localSheetId="2" hidden="1">'gm podst'!$1:$2</definedName>
    <definedName name="Z_CB410AB3_2DDF_47B7_B021_1F68EEA98257_.wvu.PrintTitles" localSheetId="4" hidden="1">'gm rez'!$1:$2</definedName>
    <definedName name="Z_CB410AB3_2DDF_47B7_B021_1F68EEA98257_.wvu.PrintTitles" localSheetId="1" hidden="1">'pow podst'!$1:$2</definedName>
    <definedName name="Z_CB410AB3_2DDF_47B7_B021_1F68EEA98257_.wvu.PrintTitles" localSheetId="3" hidden="1">'pow rez'!$1:$2</definedName>
    <definedName name="Z_E7CAF9DC_53CB_464B_97B7_E2DEFBC16359_.wvu.FilterData" localSheetId="2" hidden="1">'gm podst'!$A$2:$AD$65</definedName>
    <definedName name="Z_E7CAF9DC_53CB_464B_97B7_E2DEFBC16359_.wvu.FilterData" localSheetId="1" hidden="1">'pow podst'!$A$1:$AC$19</definedName>
    <definedName name="Z_E7CAF9DC_53CB_464B_97B7_E2DEFBC16359_.wvu.PrintArea" localSheetId="2" hidden="1">'gm podst'!$A$1:$Z$70</definedName>
    <definedName name="Z_E7CAF9DC_53CB_464B_97B7_E2DEFBC16359_.wvu.PrintArea" localSheetId="4" hidden="1">'gm rez'!$A$1:$Z$27</definedName>
    <definedName name="Z_E7CAF9DC_53CB_464B_97B7_E2DEFBC16359_.wvu.PrintArea" localSheetId="1" hidden="1">'pow podst'!$A$1:$Y$19</definedName>
    <definedName name="Z_E7CAF9DC_53CB_464B_97B7_E2DEFBC16359_.wvu.PrintArea" localSheetId="3" hidden="1">'pow rez'!$A$1:$Y$12</definedName>
    <definedName name="Z_E7CAF9DC_53CB_464B_97B7_E2DEFBC16359_.wvu.PrintArea" localSheetId="0" hidden="1">'TERC - "nazwa woj"'!$A$1:$Q$36</definedName>
    <definedName name="Z_E7CAF9DC_53CB_464B_97B7_E2DEFBC16359_.wvu.PrintTitles" localSheetId="2" hidden="1">'gm podst'!$1:$2</definedName>
    <definedName name="Z_E7CAF9DC_53CB_464B_97B7_E2DEFBC16359_.wvu.PrintTitles" localSheetId="4" hidden="1">'gm rez'!$1:$2</definedName>
    <definedName name="Z_E7CAF9DC_53CB_464B_97B7_E2DEFBC16359_.wvu.PrintTitles" localSheetId="1" hidden="1">'pow podst'!$1:$2</definedName>
    <definedName name="Z_E7CAF9DC_53CB_464B_97B7_E2DEFBC16359_.wvu.PrintTitles" localSheetId="3" hidden="1">'pow rez'!$1:$2</definedName>
  </definedNames>
  <calcPr calcId="191029"/>
  <customWorkbookViews>
    <customWorkbookView name="Zofia Malik - Widok osobisty" guid="{B4405FF1-036B-45AD-810F-8C9DF67F9D7F}" mergeInterval="0" personalView="1" maximized="1" xWindow="-8" yWindow="-8" windowWidth="1936" windowHeight="1056" activeSheetId="2"/>
    <customWorkbookView name="Katarzyna Juszczak - Widok osobisty" guid="{C76DCD22-0DC9-4799-A058-B64B837BBA0E}" mergeInterval="0" personalView="1" maximized="1" xWindow="1912" yWindow="-9" windowWidth="1936" windowHeight="1176" activeSheetId="3"/>
    <customWorkbookView name="Agnieszka Wagner - Widok osobisty" guid="{E7CAF9DC-53CB-464B-97B7-E2DEFBC16359}" mergeInterval="0" personalView="1" xWindow="-40" yWindow="1" windowWidth="1936" windowHeight="1040" activeSheetId="3"/>
    <customWorkbookView name="Kinga Kucharska - Widok osobisty" guid="{CB410AB3-2DDF-47B7-B021-1F68EEA98257}" mergeInterval="0" personalView="1" maximized="1" xWindow="-8" yWindow="-8" windowWidth="1936" windowHeight="1056" activeSheetId="3"/>
  </customWorkbookViews>
</workbook>
</file>

<file path=xl/calcChain.xml><?xml version="1.0" encoding="utf-8"?>
<calcChain xmlns="http://schemas.openxmlformats.org/spreadsheetml/2006/main">
  <c r="T61" i="3" l="1"/>
  <c r="L60" i="3"/>
  <c r="T60" i="3" s="1"/>
  <c r="AA60" i="3" l="1"/>
  <c r="AB60" i="3"/>
  <c r="AC60" i="3" s="1"/>
  <c r="M60" i="3"/>
  <c r="AD60" i="3" s="1"/>
  <c r="L59" i="3"/>
  <c r="M59" i="3" s="1"/>
  <c r="L58" i="3"/>
  <c r="L57" i="3"/>
  <c r="AB57" i="3" s="1"/>
  <c r="AC57" i="3" s="1"/>
  <c r="AB59" i="3" l="1"/>
  <c r="AC59" i="3" s="1"/>
  <c r="M61" i="3"/>
  <c r="AD61" i="3" s="1"/>
  <c r="AB61" i="3"/>
  <c r="AC61" i="3" s="1"/>
  <c r="AA61" i="3"/>
  <c r="AD59" i="3"/>
  <c r="T59" i="3"/>
  <c r="AA59" i="3" s="1"/>
  <c r="M58" i="3"/>
  <c r="AD58" i="3" s="1"/>
  <c r="AB58" i="3"/>
  <c r="AC58" i="3" s="1"/>
  <c r="T58" i="3"/>
  <c r="AA58" i="3" s="1"/>
  <c r="M57" i="3"/>
  <c r="AD57" i="3" s="1"/>
  <c r="T57" i="3"/>
  <c r="AA57" i="3"/>
  <c r="L55" i="3" l="1"/>
  <c r="M55" i="3" s="1"/>
  <c r="AD55" i="3" s="1"/>
  <c r="L56" i="3"/>
  <c r="M56" i="3" s="1"/>
  <c r="AB55" i="3" l="1"/>
  <c r="AC55" i="3" s="1"/>
  <c r="T55" i="3"/>
  <c r="AA55" i="3" s="1"/>
  <c r="AB56" i="3"/>
  <c r="AC56" i="3" s="1"/>
  <c r="T56" i="3"/>
  <c r="AA56" i="3" s="1"/>
  <c r="AD56" i="3"/>
  <c r="T43" i="3" l="1"/>
  <c r="L13" i="3" l="1"/>
  <c r="K10" i="2" l="1"/>
  <c r="L10" i="2" l="1"/>
  <c r="L12" i="5"/>
  <c r="M12" i="5" s="1"/>
  <c r="L13" i="5"/>
  <c r="M13" i="5" s="1"/>
  <c r="L14" i="5"/>
  <c r="M14" i="5" s="1"/>
  <c r="L15" i="5"/>
  <c r="M15" i="5" s="1"/>
  <c r="L16" i="5"/>
  <c r="M16" i="5" s="1"/>
  <c r="L17" i="5"/>
  <c r="M17" i="5" s="1"/>
  <c r="L18" i="5"/>
  <c r="M18" i="5" s="1"/>
  <c r="L19" i="5"/>
  <c r="M19" i="5" s="1"/>
  <c r="L20" i="5"/>
  <c r="M20" i="5" s="1"/>
  <c r="L6" i="3"/>
  <c r="AA6" i="3" s="1"/>
  <c r="L7" i="3"/>
  <c r="M7" i="3" s="1"/>
  <c r="L8" i="3"/>
  <c r="AA8" i="3" s="1"/>
  <c r="L9" i="3"/>
  <c r="L10" i="3"/>
  <c r="M10" i="3" s="1"/>
  <c r="AD10" i="3" s="1"/>
  <c r="AD11" i="3"/>
  <c r="L4" i="3"/>
  <c r="M4" i="3" s="1"/>
  <c r="AD4" i="3" s="1"/>
  <c r="L54" i="3"/>
  <c r="M54" i="3" s="1"/>
  <c r="AD54" i="3" s="1"/>
  <c r="L53" i="3"/>
  <c r="T53" i="3" s="1"/>
  <c r="AA53" i="3" s="1"/>
  <c r="L12" i="3"/>
  <c r="AB12" i="3" s="1"/>
  <c r="AC12" i="3" s="1"/>
  <c r="M13" i="3"/>
  <c r="AD13" i="3" s="1"/>
  <c r="L14" i="3"/>
  <c r="T14" i="3" s="1"/>
  <c r="AA14" i="3" s="1"/>
  <c r="L15" i="3"/>
  <c r="M15" i="3" s="1"/>
  <c r="AD15" i="3" s="1"/>
  <c r="L16" i="3"/>
  <c r="M16" i="3" s="1"/>
  <c r="L17" i="3"/>
  <c r="AB17" i="3" s="1"/>
  <c r="AC17" i="3" s="1"/>
  <c r="L18" i="3"/>
  <c r="T18" i="3" s="1"/>
  <c r="AA18" i="3" s="1"/>
  <c r="AD19" i="3"/>
  <c r="L20" i="3"/>
  <c r="T20" i="3" s="1"/>
  <c r="AA20" i="3" s="1"/>
  <c r="L21" i="3"/>
  <c r="T21" i="3" s="1"/>
  <c r="AA21" i="3" s="1"/>
  <c r="L22" i="3"/>
  <c r="T22" i="3" s="1"/>
  <c r="AA22" i="3" s="1"/>
  <c r="L23" i="3"/>
  <c r="M23" i="3" s="1"/>
  <c r="AD23" i="3" s="1"/>
  <c r="L24" i="3"/>
  <c r="M24" i="3" s="1"/>
  <c r="L25" i="3"/>
  <c r="AB25" i="3" s="1"/>
  <c r="AC25" i="3" s="1"/>
  <c r="L26" i="3"/>
  <c r="T26" i="3" s="1"/>
  <c r="AA26" i="3" s="1"/>
  <c r="M27" i="3"/>
  <c r="AD27" i="3" s="1"/>
  <c r="L28" i="3"/>
  <c r="AB28" i="3" s="1"/>
  <c r="AC28" i="3" s="1"/>
  <c r="L29" i="3"/>
  <c r="M29" i="3" s="1"/>
  <c r="L30" i="3"/>
  <c r="T30" i="3" s="1"/>
  <c r="AA30" i="3" s="1"/>
  <c r="L31" i="3"/>
  <c r="M31" i="3" s="1"/>
  <c r="AD31" i="3" s="1"/>
  <c r="L32" i="3"/>
  <c r="M32" i="3" s="1"/>
  <c r="L33" i="3"/>
  <c r="AB33" i="3" s="1"/>
  <c r="AC33" i="3" s="1"/>
  <c r="L34" i="3"/>
  <c r="M34" i="3" s="1"/>
  <c r="L35" i="3"/>
  <c r="M35" i="3" s="1"/>
  <c r="AD35" i="3" s="1"/>
  <c r="L36" i="3"/>
  <c r="AB36" i="3" s="1"/>
  <c r="AC36" i="3" s="1"/>
  <c r="L37" i="3"/>
  <c r="M37" i="3" s="1"/>
  <c r="AD37" i="3" s="1"/>
  <c r="L38" i="3"/>
  <c r="T38" i="3" s="1"/>
  <c r="AA38" i="3" s="1"/>
  <c r="L39" i="3"/>
  <c r="M39" i="3" s="1"/>
  <c r="AD39" i="3" s="1"/>
  <c r="L40" i="3"/>
  <c r="M40" i="3" s="1"/>
  <c r="AD40" i="3" s="1"/>
  <c r="L41" i="3"/>
  <c r="T41" i="3" s="1"/>
  <c r="L42" i="3"/>
  <c r="M42" i="3" s="1"/>
  <c r="L43" i="3"/>
  <c r="M43" i="3" s="1"/>
  <c r="L44" i="3"/>
  <c r="M44" i="3" s="1"/>
  <c r="L45" i="3"/>
  <c r="T45" i="3" s="1"/>
  <c r="L46" i="3"/>
  <c r="T46" i="3" s="1"/>
  <c r="L47" i="3"/>
  <c r="M47" i="3" s="1"/>
  <c r="L48" i="3"/>
  <c r="M48" i="3" s="1"/>
  <c r="L49" i="3"/>
  <c r="M49" i="3" s="1"/>
  <c r="L50" i="3"/>
  <c r="T50" i="3" s="1"/>
  <c r="L51" i="3"/>
  <c r="M51" i="3" s="1"/>
  <c r="L52" i="3"/>
  <c r="M52" i="3" s="1"/>
  <c r="M5" i="3"/>
  <c r="AD5" i="3" s="1"/>
  <c r="T42" i="3"/>
  <c r="T37" i="3"/>
  <c r="T34" i="3"/>
  <c r="T24" i="3"/>
  <c r="T23" i="3"/>
  <c r="U17" i="3"/>
  <c r="T17" i="3"/>
  <c r="T12" i="3"/>
  <c r="AB5" i="3"/>
  <c r="AC5" i="3" s="1"/>
  <c r="AA5" i="3"/>
  <c r="K5" i="2"/>
  <c r="K6" i="2"/>
  <c r="L6" i="2" s="1"/>
  <c r="S7" i="2"/>
  <c r="K8" i="2"/>
  <c r="S8" i="2" s="1"/>
  <c r="K9" i="2"/>
  <c r="L9" i="2" s="1"/>
  <c r="S10" i="2"/>
  <c r="AB17" i="5" l="1"/>
  <c r="AC17" i="5" s="1"/>
  <c r="AB29" i="3"/>
  <c r="AC29" i="3" s="1"/>
  <c r="T40" i="3"/>
  <c r="AA40" i="3" s="1"/>
  <c r="AB9" i="3"/>
  <c r="AC9" i="3" s="1"/>
  <c r="T9" i="3"/>
  <c r="AB4" i="3"/>
  <c r="AC4" i="3" s="1"/>
  <c r="AB32" i="3"/>
  <c r="AC32" i="3" s="1"/>
  <c r="AB37" i="3"/>
  <c r="AC37" i="3" s="1"/>
  <c r="U13" i="3"/>
  <c r="AA13" i="3" s="1"/>
  <c r="AB13" i="3"/>
  <c r="AC13" i="3" s="1"/>
  <c r="M45" i="3"/>
  <c r="S6" i="2"/>
  <c r="AB21" i="3"/>
  <c r="AC21" i="3" s="1"/>
  <c r="M21" i="3"/>
  <c r="AD21" i="3" s="1"/>
  <c r="T29" i="3"/>
  <c r="AA29" i="3" s="1"/>
  <c r="AD29" i="3"/>
  <c r="U37" i="3"/>
  <c r="AA37" i="3" s="1"/>
  <c r="AB10" i="3"/>
  <c r="AC10" i="3" s="1"/>
  <c r="M20" i="3"/>
  <c r="AD20" i="3" s="1"/>
  <c r="T28" i="3"/>
  <c r="AA28" i="3" s="1"/>
  <c r="M12" i="3"/>
  <c r="AD12" i="3" s="1"/>
  <c r="M28" i="3"/>
  <c r="AD28" i="3" s="1"/>
  <c r="T32" i="3"/>
  <c r="AA32" i="3" s="1"/>
  <c r="M38" i="3"/>
  <c r="AD38" i="3" s="1"/>
  <c r="M14" i="3"/>
  <c r="AD14" i="3" s="1"/>
  <c r="AB27" i="3"/>
  <c r="AC27" i="3" s="1"/>
  <c r="AB22" i="3"/>
  <c r="AC22" i="3" s="1"/>
  <c r="T25" i="3"/>
  <c r="AA25" i="3" s="1"/>
  <c r="U43" i="3"/>
  <c r="M25" i="3"/>
  <c r="AD25" i="3" s="1"/>
  <c r="M22" i="3"/>
  <c r="AD22" i="3" s="1"/>
  <c r="AB31" i="3"/>
  <c r="AC31" i="3" s="1"/>
  <c r="M41" i="3"/>
  <c r="AA5" i="5"/>
  <c r="AB6" i="3"/>
  <c r="AC6" i="3" s="1"/>
  <c r="V17" i="3"/>
  <c r="AA17" i="3" s="1"/>
  <c r="M6" i="3"/>
  <c r="AD6" i="3" s="1"/>
  <c r="AB15" i="5"/>
  <c r="AC15" i="5" s="1"/>
  <c r="T33" i="3"/>
  <c r="AA33" i="3" s="1"/>
  <c r="T48" i="3"/>
  <c r="T18" i="5"/>
  <c r="AB13" i="5"/>
  <c r="AC13" i="5" s="1"/>
  <c r="T49" i="3"/>
  <c r="M33" i="3"/>
  <c r="AD33" i="3" s="1"/>
  <c r="M17" i="3"/>
  <c r="AD17" i="3" s="1"/>
  <c r="T14" i="5"/>
  <c r="AA14" i="5" s="1"/>
  <c r="AB9" i="5"/>
  <c r="AC9" i="5" s="1"/>
  <c r="T52" i="3"/>
  <c r="T13" i="5"/>
  <c r="AA13" i="5" s="1"/>
  <c r="AB7" i="5"/>
  <c r="AC7" i="5" s="1"/>
  <c r="AA10" i="5"/>
  <c r="AB5" i="5"/>
  <c r="AC5" i="5" s="1"/>
  <c r="T47" i="3"/>
  <c r="M18" i="3"/>
  <c r="AD18" i="3" s="1"/>
  <c r="AA4" i="3"/>
  <c r="T51" i="3"/>
  <c r="T15" i="5"/>
  <c r="AA15" i="5" s="1"/>
  <c r="AD19" i="5"/>
  <c r="AD17" i="5"/>
  <c r="AD15" i="5"/>
  <c r="AD13" i="5"/>
  <c r="AD11" i="5"/>
  <c r="AD9" i="5"/>
  <c r="AD7" i="5"/>
  <c r="AD5" i="5"/>
  <c r="AD34" i="3"/>
  <c r="AB11" i="5"/>
  <c r="AC11" i="5" s="1"/>
  <c r="AB39" i="3"/>
  <c r="AC39" i="3" s="1"/>
  <c r="T35" i="3"/>
  <c r="AA35" i="3" s="1"/>
  <c r="T44" i="3"/>
  <c r="T20" i="5"/>
  <c r="AA20" i="5" s="1"/>
  <c r="T12" i="5"/>
  <c r="AA12" i="5" s="1"/>
  <c r="AA7" i="5"/>
  <c r="AB19" i="5"/>
  <c r="AC19" i="5" s="1"/>
  <c r="AB15" i="3"/>
  <c r="AC15" i="3" s="1"/>
  <c r="T15" i="3"/>
  <c r="AA15" i="3" s="1"/>
  <c r="T27" i="3"/>
  <c r="AA27" i="3" s="1"/>
  <c r="T36" i="3"/>
  <c r="AA36" i="3" s="1"/>
  <c r="M46" i="3"/>
  <c r="M30" i="3"/>
  <c r="AD30" i="3" s="1"/>
  <c r="M9" i="3"/>
  <c r="AD9" i="3" s="1"/>
  <c r="AB53" i="3"/>
  <c r="AC53" i="3" s="1"/>
  <c r="T19" i="5"/>
  <c r="AA19" i="5" s="1"/>
  <c r="AA11" i="5"/>
  <c r="AD20" i="5"/>
  <c r="AD18" i="5"/>
  <c r="AD16" i="5"/>
  <c r="AD14" i="5"/>
  <c r="AD12" i="5"/>
  <c r="AD10" i="5"/>
  <c r="AD8" i="5"/>
  <c r="AD6" i="5"/>
  <c r="AD4" i="5"/>
  <c r="M50" i="3"/>
  <c r="T39" i="3"/>
  <c r="AA39" i="3" s="1"/>
  <c r="M53" i="3"/>
  <c r="AD53" i="3" s="1"/>
  <c r="T17" i="5"/>
  <c r="AA17" i="5" s="1"/>
  <c r="AA9" i="5"/>
  <c r="AB20" i="5"/>
  <c r="AC20" i="5" s="1"/>
  <c r="AB18" i="5"/>
  <c r="AC18" i="5" s="1"/>
  <c r="AB16" i="5"/>
  <c r="AC16" i="5" s="1"/>
  <c r="AB14" i="5"/>
  <c r="AC14" i="5" s="1"/>
  <c r="AB12" i="5"/>
  <c r="AC12" i="5" s="1"/>
  <c r="AB10" i="5"/>
  <c r="AC10" i="5" s="1"/>
  <c r="AB8" i="5"/>
  <c r="AC8" i="5" s="1"/>
  <c r="AB6" i="5"/>
  <c r="AC6" i="5" s="1"/>
  <c r="AB4" i="5"/>
  <c r="AC4" i="5" s="1"/>
  <c r="AB34" i="3"/>
  <c r="AC34" i="3" s="1"/>
  <c r="L8" i="2"/>
  <c r="AA19" i="3"/>
  <c r="T31" i="3"/>
  <c r="AA31" i="3" s="1"/>
  <c r="M26" i="3"/>
  <c r="AD26" i="3" s="1"/>
  <c r="T16" i="5"/>
  <c r="AA16" i="5" s="1"/>
  <c r="AA8" i="5"/>
  <c r="AA18" i="5"/>
  <c r="AA6" i="5"/>
  <c r="AA4" i="5"/>
  <c r="AB7" i="3"/>
  <c r="AC7" i="3" s="1"/>
  <c r="M8" i="3"/>
  <c r="AD8" i="3" s="1"/>
  <c r="AA11" i="3"/>
  <c r="AB19" i="3"/>
  <c r="AC19" i="3" s="1"/>
  <c r="AB38" i="3"/>
  <c r="AC38" i="3" s="1"/>
  <c r="AB35" i="3"/>
  <c r="AC35" i="3" s="1"/>
  <c r="AA10" i="3"/>
  <c r="AB11" i="3"/>
  <c r="AC11" i="3" s="1"/>
  <c r="AB14" i="3"/>
  <c r="AC14" i="3" s="1"/>
  <c r="AB23" i="3"/>
  <c r="AC23" i="3" s="1"/>
  <c r="M36" i="3"/>
  <c r="AD36" i="3" s="1"/>
  <c r="AB54" i="3"/>
  <c r="AC54" i="3" s="1"/>
  <c r="T54" i="3"/>
  <c r="AA54" i="3" s="1"/>
  <c r="AD7" i="3"/>
  <c r="U24" i="3"/>
  <c r="AA24" i="3" s="1"/>
  <c r="AB30" i="3"/>
  <c r="AC30" i="3" s="1"/>
  <c r="AB26" i="3"/>
  <c r="AC26" i="3" s="1"/>
  <c r="AA7" i="3"/>
  <c r="AB18" i="3"/>
  <c r="AC18" i="3" s="1"/>
  <c r="U23" i="3"/>
  <c r="AA23" i="3" s="1"/>
  <c r="U34" i="3"/>
  <c r="AA34" i="3" s="1"/>
  <c r="U42" i="3"/>
  <c r="AD32" i="3"/>
  <c r="AD24" i="3"/>
  <c r="AB8" i="3"/>
  <c r="AC8" i="3" s="1"/>
  <c r="AB20" i="3"/>
  <c r="AC20" i="3" s="1"/>
  <c r="AB24" i="3"/>
  <c r="AC24" i="3" s="1"/>
  <c r="AB40" i="3"/>
  <c r="AC40" i="3" s="1"/>
  <c r="AB16" i="3"/>
  <c r="AC16" i="3" s="1"/>
  <c r="U12" i="3"/>
  <c r="AA12" i="3" s="1"/>
  <c r="T16" i="3"/>
  <c r="AA16" i="3" s="1"/>
  <c r="AD16" i="3"/>
  <c r="S9" i="2"/>
  <c r="L7" i="2"/>
  <c r="L5" i="2"/>
  <c r="AA9" i="3" l="1"/>
  <c r="K16" i="1"/>
  <c r="B19" i="1"/>
  <c r="B18" i="1"/>
  <c r="B15" i="1"/>
  <c r="B13" i="1"/>
  <c r="B17" i="1"/>
  <c r="B14" i="1"/>
  <c r="K3" i="2"/>
  <c r="S3" i="2" s="1"/>
  <c r="K12" i="1" s="1"/>
  <c r="K20" i="1" l="1"/>
  <c r="B27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4" i="1"/>
  <c r="Q24" i="1"/>
  <c r="P25" i="1"/>
  <c r="Q25" i="1"/>
  <c r="P26" i="1"/>
  <c r="Q26" i="1"/>
  <c r="P27" i="1"/>
  <c r="Q27" i="1"/>
  <c r="P28" i="1"/>
  <c r="Q28" i="1"/>
  <c r="P29" i="1"/>
  <c r="Q29" i="1"/>
  <c r="AA3" i="5"/>
  <c r="Z4" i="4"/>
  <c r="Z5" i="4"/>
  <c r="Z3" i="4"/>
  <c r="Z23" i="5"/>
  <c r="Y23" i="5"/>
  <c r="Z22" i="5"/>
  <c r="Y22" i="5"/>
  <c r="Z21" i="5"/>
  <c r="Y21" i="5"/>
  <c r="Y8" i="4"/>
  <c r="X8" i="4"/>
  <c r="Y7" i="4"/>
  <c r="X7" i="4"/>
  <c r="Y6" i="4"/>
  <c r="X6" i="4"/>
  <c r="AA41" i="3"/>
  <c r="AA42" i="3"/>
  <c r="AA43" i="3"/>
  <c r="AA44" i="3"/>
  <c r="AA45" i="3"/>
  <c r="AA46" i="3"/>
  <c r="AA47" i="3"/>
  <c r="AA48" i="3"/>
  <c r="AA49" i="3"/>
  <c r="AA50" i="3"/>
  <c r="AA51" i="3"/>
  <c r="AA52" i="3"/>
  <c r="AB3" i="3"/>
  <c r="AA3" i="3"/>
  <c r="Z65" i="3"/>
  <c r="Y65" i="3"/>
  <c r="Z64" i="3"/>
  <c r="Y64" i="3"/>
  <c r="Z63" i="3"/>
  <c r="Y63" i="3"/>
  <c r="Z62" i="3"/>
  <c r="Y62" i="3"/>
  <c r="Z4" i="2"/>
  <c r="Z5" i="2"/>
  <c r="Z6" i="2"/>
  <c r="Z7" i="2"/>
  <c r="Z8" i="2"/>
  <c r="Z9" i="2"/>
  <c r="Z10" i="2"/>
  <c r="Z3" i="2"/>
  <c r="Y11" i="2"/>
  <c r="Y14" i="2"/>
  <c r="Y13" i="2"/>
  <c r="Y12" i="2"/>
  <c r="X14" i="2"/>
  <c r="X13" i="2"/>
  <c r="X12" i="2"/>
  <c r="X11" i="2"/>
  <c r="Q20" i="1" l="1"/>
  <c r="Q37" i="1" s="1"/>
  <c r="P20" i="1"/>
  <c r="P37" i="1" s="1"/>
  <c r="P22" i="1"/>
  <c r="P39" i="1" s="1"/>
  <c r="Q22" i="1"/>
  <c r="Q39" i="1" s="1"/>
  <c r="P31" i="1"/>
  <c r="P42" i="1" s="1"/>
  <c r="Q30" i="1"/>
  <c r="P30" i="1"/>
  <c r="Q31" i="1"/>
  <c r="Q42" i="1" s="1"/>
  <c r="Q21" i="1"/>
  <c r="Q34" i="1" s="1"/>
  <c r="P21" i="1"/>
  <c r="P34" i="1" s="1"/>
  <c r="Q23" i="1"/>
  <c r="Q32" i="1"/>
  <c r="Q43" i="1" s="1"/>
  <c r="P32" i="1"/>
  <c r="P43" i="1" s="1"/>
  <c r="P23" i="1"/>
  <c r="J8" i="4"/>
  <c r="P33" i="1" l="1"/>
  <c r="P44" i="1" s="1"/>
  <c r="Q33" i="1"/>
  <c r="Q44" i="1" s="1"/>
  <c r="P38" i="1"/>
  <c r="Q38" i="1"/>
  <c r="Q41" i="1"/>
  <c r="P41" i="1"/>
  <c r="P36" i="1"/>
  <c r="Q36" i="1"/>
  <c r="P35" i="1"/>
  <c r="Q35" i="1"/>
  <c r="Q40" i="1"/>
  <c r="P40" i="1"/>
  <c r="B29" i="1"/>
  <c r="B28" i="1"/>
  <c r="B26" i="1"/>
  <c r="B25" i="1"/>
  <c r="O29" i="1"/>
  <c r="N29" i="1"/>
  <c r="M29" i="1"/>
  <c r="L29" i="1"/>
  <c r="K29" i="1"/>
  <c r="J29" i="1"/>
  <c r="I29" i="1"/>
  <c r="H29" i="1"/>
  <c r="G29" i="1"/>
  <c r="F29" i="1"/>
  <c r="E29" i="1"/>
  <c r="D29" i="1"/>
  <c r="O28" i="1"/>
  <c r="N28" i="1"/>
  <c r="M28" i="1"/>
  <c r="L28" i="1"/>
  <c r="K28" i="1"/>
  <c r="J28" i="1"/>
  <c r="I28" i="1"/>
  <c r="H28" i="1"/>
  <c r="G28" i="1"/>
  <c r="F28" i="1"/>
  <c r="E28" i="1"/>
  <c r="C28" i="1"/>
  <c r="O26" i="1"/>
  <c r="N26" i="1"/>
  <c r="M26" i="1"/>
  <c r="L26" i="1"/>
  <c r="K26" i="1"/>
  <c r="J26" i="1"/>
  <c r="I26" i="1"/>
  <c r="H26" i="1"/>
  <c r="G26" i="1"/>
  <c r="F26" i="1"/>
  <c r="E26" i="1"/>
  <c r="D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19" i="1"/>
  <c r="N19" i="1"/>
  <c r="M19" i="1"/>
  <c r="L19" i="1"/>
  <c r="K19" i="1"/>
  <c r="J19" i="1"/>
  <c r="I19" i="1"/>
  <c r="H19" i="1"/>
  <c r="G19" i="1"/>
  <c r="F19" i="1"/>
  <c r="E19" i="1"/>
  <c r="D19" i="1"/>
  <c r="O18" i="1"/>
  <c r="N18" i="1"/>
  <c r="M18" i="1"/>
  <c r="L18" i="1"/>
  <c r="K18" i="1"/>
  <c r="J18" i="1"/>
  <c r="I18" i="1"/>
  <c r="H18" i="1"/>
  <c r="G18" i="1"/>
  <c r="F18" i="1"/>
  <c r="E18" i="1"/>
  <c r="D18" i="1"/>
  <c r="O17" i="1"/>
  <c r="N17" i="1"/>
  <c r="M17" i="1"/>
  <c r="L17" i="1"/>
  <c r="K17" i="1"/>
  <c r="J17" i="1"/>
  <c r="I17" i="1"/>
  <c r="H17" i="1"/>
  <c r="G17" i="1"/>
  <c r="F17" i="1"/>
  <c r="E17" i="1"/>
  <c r="O15" i="1"/>
  <c r="O14" i="1"/>
  <c r="N15" i="1"/>
  <c r="N14" i="1"/>
  <c r="M15" i="1"/>
  <c r="M14" i="1"/>
  <c r="L15" i="1"/>
  <c r="L14" i="1"/>
  <c r="K15" i="1"/>
  <c r="K14" i="1"/>
  <c r="J15" i="1"/>
  <c r="J14" i="1"/>
  <c r="I15" i="1"/>
  <c r="I14" i="1"/>
  <c r="H15" i="1"/>
  <c r="H14" i="1"/>
  <c r="G15" i="1"/>
  <c r="G14" i="1"/>
  <c r="F15" i="1"/>
  <c r="F14" i="1"/>
  <c r="E15" i="1"/>
  <c r="E14" i="1"/>
  <c r="D15" i="1"/>
  <c r="O13" i="1"/>
  <c r="N13" i="1"/>
  <c r="M13" i="1"/>
  <c r="L13" i="1"/>
  <c r="K13" i="1"/>
  <c r="J13" i="1"/>
  <c r="I13" i="1"/>
  <c r="H13" i="1"/>
  <c r="G13" i="1"/>
  <c r="F13" i="1"/>
  <c r="E13" i="1"/>
  <c r="D13" i="1"/>
  <c r="C29" i="1"/>
  <c r="C26" i="1"/>
  <c r="C19" i="1"/>
  <c r="C18" i="1"/>
  <c r="C17" i="1"/>
  <c r="S15" i="1" l="1"/>
  <c r="S13" i="1"/>
  <c r="S14" i="1"/>
  <c r="R29" i="1"/>
  <c r="R25" i="1"/>
  <c r="R18" i="1"/>
  <c r="S29" i="1"/>
  <c r="S28" i="1"/>
  <c r="R26" i="1"/>
  <c r="S26" i="1"/>
  <c r="S25" i="1"/>
  <c r="R19" i="1"/>
  <c r="S18" i="1"/>
  <c r="S17" i="1"/>
  <c r="S19" i="1"/>
  <c r="C15" i="1"/>
  <c r="C14" i="1"/>
  <c r="C13" i="1"/>
  <c r="R15" i="1" l="1"/>
  <c r="R13" i="1"/>
  <c r="O32" i="1"/>
  <c r="O43" i="1" s="1"/>
  <c r="N32" i="1"/>
  <c r="N43" i="1" s="1"/>
  <c r="M32" i="1"/>
  <c r="M43" i="1" s="1"/>
  <c r="L32" i="1"/>
  <c r="L43" i="1" s="1"/>
  <c r="K32" i="1"/>
  <c r="K43" i="1" s="1"/>
  <c r="J32" i="1"/>
  <c r="J43" i="1" s="1"/>
  <c r="I32" i="1"/>
  <c r="I43" i="1" s="1"/>
  <c r="H32" i="1"/>
  <c r="H43" i="1" s="1"/>
  <c r="G32" i="1"/>
  <c r="G43" i="1" s="1"/>
  <c r="F32" i="1"/>
  <c r="F43" i="1" s="1"/>
  <c r="E32" i="1"/>
  <c r="E43" i="1" s="1"/>
  <c r="D32" i="1"/>
  <c r="D43" i="1" s="1"/>
  <c r="C32" i="1"/>
  <c r="C43" i="1" s="1"/>
  <c r="B32" i="1"/>
  <c r="B43" i="1" s="1"/>
  <c r="O31" i="1"/>
  <c r="O42" i="1" s="1"/>
  <c r="N31" i="1"/>
  <c r="N42" i="1" s="1"/>
  <c r="M31" i="1"/>
  <c r="M42" i="1" s="1"/>
  <c r="L31" i="1"/>
  <c r="L42" i="1" s="1"/>
  <c r="K31" i="1"/>
  <c r="K42" i="1" s="1"/>
  <c r="J31" i="1"/>
  <c r="J42" i="1" s="1"/>
  <c r="I31" i="1"/>
  <c r="I42" i="1" s="1"/>
  <c r="H31" i="1"/>
  <c r="H42" i="1" s="1"/>
  <c r="G31" i="1"/>
  <c r="G42" i="1" s="1"/>
  <c r="F31" i="1"/>
  <c r="F42" i="1" s="1"/>
  <c r="E31" i="1"/>
  <c r="E42" i="1" s="1"/>
  <c r="C31" i="1"/>
  <c r="C42" i="1" s="1"/>
  <c r="B31" i="1"/>
  <c r="B42" i="1" s="1"/>
  <c r="O22" i="1"/>
  <c r="O39" i="1" s="1"/>
  <c r="N22" i="1"/>
  <c r="N39" i="1" s="1"/>
  <c r="M22" i="1"/>
  <c r="M39" i="1" s="1"/>
  <c r="L22" i="1"/>
  <c r="L39" i="1" s="1"/>
  <c r="K22" i="1"/>
  <c r="K39" i="1" s="1"/>
  <c r="J22" i="1"/>
  <c r="J39" i="1" s="1"/>
  <c r="I22" i="1"/>
  <c r="I39" i="1" s="1"/>
  <c r="H22" i="1"/>
  <c r="H39" i="1" s="1"/>
  <c r="G22" i="1"/>
  <c r="G39" i="1" s="1"/>
  <c r="F22" i="1"/>
  <c r="F39" i="1" s="1"/>
  <c r="E22" i="1"/>
  <c r="E39" i="1" s="1"/>
  <c r="C22" i="1"/>
  <c r="C39" i="1" s="1"/>
  <c r="B22" i="1"/>
  <c r="B39" i="1" s="1"/>
  <c r="O21" i="1"/>
  <c r="N21" i="1"/>
  <c r="M21" i="1"/>
  <c r="L21" i="1"/>
  <c r="K21" i="1"/>
  <c r="J21" i="1"/>
  <c r="I21" i="1"/>
  <c r="H21" i="1"/>
  <c r="G21" i="1"/>
  <c r="F21" i="1"/>
  <c r="E21" i="1"/>
  <c r="C21" i="1"/>
  <c r="C38" i="1" s="1"/>
  <c r="B21" i="1"/>
  <c r="W14" i="2"/>
  <c r="V14" i="2"/>
  <c r="U14" i="2"/>
  <c r="T14" i="2"/>
  <c r="S14" i="2"/>
  <c r="R14" i="2"/>
  <c r="Q14" i="2"/>
  <c r="P14" i="2"/>
  <c r="O14" i="2"/>
  <c r="N14" i="2"/>
  <c r="W13" i="2"/>
  <c r="V13" i="2"/>
  <c r="U13" i="2"/>
  <c r="T13" i="2"/>
  <c r="S13" i="2"/>
  <c r="R13" i="2"/>
  <c r="Q13" i="2"/>
  <c r="P13" i="2"/>
  <c r="O13" i="2"/>
  <c r="N13" i="2"/>
  <c r="W12" i="2"/>
  <c r="V12" i="2"/>
  <c r="U12" i="2"/>
  <c r="T12" i="2"/>
  <c r="S12" i="2"/>
  <c r="R12" i="2"/>
  <c r="Q12" i="2"/>
  <c r="P12" i="2"/>
  <c r="O12" i="2"/>
  <c r="N12" i="2"/>
  <c r="L14" i="2"/>
  <c r="K14" i="2"/>
  <c r="J14" i="2"/>
  <c r="K13" i="2"/>
  <c r="J13" i="2"/>
  <c r="J12" i="2"/>
  <c r="H13" i="2"/>
  <c r="H12" i="2"/>
  <c r="X65" i="3"/>
  <c r="W65" i="3"/>
  <c r="V65" i="3"/>
  <c r="U65" i="3"/>
  <c r="T65" i="3"/>
  <c r="S65" i="3"/>
  <c r="R65" i="3"/>
  <c r="Q65" i="3"/>
  <c r="P65" i="3"/>
  <c r="O65" i="3"/>
  <c r="X64" i="3"/>
  <c r="W64" i="3"/>
  <c r="V64" i="3"/>
  <c r="U64" i="3"/>
  <c r="T64" i="3"/>
  <c r="S64" i="3"/>
  <c r="R64" i="3"/>
  <c r="Q64" i="3"/>
  <c r="P64" i="3"/>
  <c r="O64" i="3"/>
  <c r="X63" i="3"/>
  <c r="W63" i="3"/>
  <c r="V63" i="3"/>
  <c r="U63" i="3"/>
  <c r="T63" i="3"/>
  <c r="S63" i="3"/>
  <c r="R63" i="3"/>
  <c r="Q63" i="3"/>
  <c r="P63" i="3"/>
  <c r="O63" i="3"/>
  <c r="M65" i="3"/>
  <c r="L65" i="3"/>
  <c r="K65" i="3"/>
  <c r="M64" i="3"/>
  <c r="L64" i="3"/>
  <c r="K64" i="3"/>
  <c r="L63" i="3"/>
  <c r="K63" i="3"/>
  <c r="I64" i="3"/>
  <c r="I63" i="3"/>
  <c r="W7" i="4"/>
  <c r="V7" i="4"/>
  <c r="U7" i="4"/>
  <c r="T7" i="4"/>
  <c r="S7" i="4"/>
  <c r="R7" i="4"/>
  <c r="Q7" i="4"/>
  <c r="P7" i="4"/>
  <c r="O7" i="4"/>
  <c r="N7" i="4"/>
  <c r="L7" i="4"/>
  <c r="K7" i="4"/>
  <c r="J7" i="4"/>
  <c r="H7" i="4"/>
  <c r="X22" i="5"/>
  <c r="W22" i="5"/>
  <c r="V22" i="5"/>
  <c r="U22" i="5"/>
  <c r="T22" i="5"/>
  <c r="S22" i="5"/>
  <c r="R22" i="5"/>
  <c r="Q22" i="5"/>
  <c r="P22" i="5"/>
  <c r="O22" i="5"/>
  <c r="L22" i="5"/>
  <c r="K22" i="5"/>
  <c r="I22" i="5"/>
  <c r="Z7" i="4" l="1"/>
  <c r="AA22" i="5"/>
  <c r="AA65" i="3"/>
  <c r="AA64" i="3"/>
  <c r="AA63" i="3"/>
  <c r="Z14" i="2"/>
  <c r="Z13" i="2"/>
  <c r="G34" i="1"/>
  <c r="G38" i="1"/>
  <c r="K34" i="1"/>
  <c r="K38" i="1"/>
  <c r="O34" i="1"/>
  <c r="O38" i="1"/>
  <c r="H34" i="1"/>
  <c r="H38" i="1"/>
  <c r="L34" i="1"/>
  <c r="L38" i="1"/>
  <c r="S21" i="1"/>
  <c r="E38" i="1"/>
  <c r="I34" i="1"/>
  <c r="I38" i="1"/>
  <c r="M34" i="1"/>
  <c r="M38" i="1"/>
  <c r="B34" i="1"/>
  <c r="B38" i="1"/>
  <c r="F34" i="1"/>
  <c r="F38" i="1"/>
  <c r="J34" i="1"/>
  <c r="J38" i="1"/>
  <c r="N34" i="1"/>
  <c r="N38" i="1"/>
  <c r="R32" i="1"/>
  <c r="AA7" i="4"/>
  <c r="S32" i="1"/>
  <c r="S31" i="1"/>
  <c r="C34" i="1"/>
  <c r="E34" i="1"/>
  <c r="S22" i="1"/>
  <c r="E35" i="1"/>
  <c r="M35" i="1"/>
  <c r="H35" i="1"/>
  <c r="AB63" i="3"/>
  <c r="L35" i="1"/>
  <c r="I35" i="1"/>
  <c r="C35" i="1"/>
  <c r="G35" i="1"/>
  <c r="K35" i="1"/>
  <c r="O35" i="1"/>
  <c r="B35" i="1"/>
  <c r="F35" i="1"/>
  <c r="J35" i="1"/>
  <c r="N35" i="1"/>
  <c r="AB22" i="5"/>
  <c r="AC7" i="4"/>
  <c r="M3" i="3"/>
  <c r="K12" i="2"/>
  <c r="Z12" i="2" s="1"/>
  <c r="AD3" i="3" l="1"/>
  <c r="D17" i="1"/>
  <c r="M63" i="3"/>
  <c r="AD63" i="3" s="1"/>
  <c r="S34" i="1"/>
  <c r="M21" i="5"/>
  <c r="S35" i="1"/>
  <c r="D24" i="1"/>
  <c r="B24" i="1"/>
  <c r="L3" i="2"/>
  <c r="AA12" i="2"/>
  <c r="O23" i="1"/>
  <c r="N23" i="1"/>
  <c r="M23" i="1"/>
  <c r="L23" i="1"/>
  <c r="K23" i="1"/>
  <c r="J23" i="1"/>
  <c r="I23" i="1"/>
  <c r="H23" i="1"/>
  <c r="G23" i="1"/>
  <c r="F23" i="1"/>
  <c r="E23" i="1"/>
  <c r="E40" i="1" s="1"/>
  <c r="D23" i="1"/>
  <c r="C23" i="1"/>
  <c r="C40" i="1" s="1"/>
  <c r="B23" i="1"/>
  <c r="O27" i="1"/>
  <c r="N27" i="1"/>
  <c r="M27" i="1"/>
  <c r="L27" i="1"/>
  <c r="K27" i="1"/>
  <c r="J27" i="1"/>
  <c r="I27" i="1"/>
  <c r="H27" i="1"/>
  <c r="G27" i="1"/>
  <c r="F27" i="1"/>
  <c r="E27" i="1"/>
  <c r="C27" i="1"/>
  <c r="O24" i="1"/>
  <c r="N24" i="1"/>
  <c r="M24" i="1"/>
  <c r="L24" i="1"/>
  <c r="K24" i="1"/>
  <c r="J24" i="1"/>
  <c r="I24" i="1"/>
  <c r="H24" i="1"/>
  <c r="G24" i="1"/>
  <c r="F24" i="1"/>
  <c r="E24" i="1"/>
  <c r="C24" i="1"/>
  <c r="X23" i="5"/>
  <c r="W23" i="5"/>
  <c r="V23" i="5"/>
  <c r="U23" i="5"/>
  <c r="T23" i="5"/>
  <c r="S23" i="5"/>
  <c r="R23" i="5"/>
  <c r="Q23" i="5"/>
  <c r="P23" i="5"/>
  <c r="O23" i="5"/>
  <c r="M23" i="5"/>
  <c r="L23" i="5"/>
  <c r="K23" i="5"/>
  <c r="I23" i="5"/>
  <c r="X21" i="5"/>
  <c r="W21" i="5"/>
  <c r="V21" i="5"/>
  <c r="U21" i="5"/>
  <c r="T21" i="5"/>
  <c r="S21" i="5"/>
  <c r="R21" i="5"/>
  <c r="Q21" i="5"/>
  <c r="P21" i="5"/>
  <c r="O21" i="5"/>
  <c r="L21" i="5"/>
  <c r="K21" i="5"/>
  <c r="I21" i="5"/>
  <c r="W8" i="4"/>
  <c r="V8" i="4"/>
  <c r="U8" i="4"/>
  <c r="T8" i="4"/>
  <c r="S8" i="4"/>
  <c r="R8" i="4"/>
  <c r="Q8" i="4"/>
  <c r="P8" i="4"/>
  <c r="O8" i="4"/>
  <c r="N8" i="4"/>
  <c r="L8" i="4"/>
  <c r="K8" i="4"/>
  <c r="H8" i="4"/>
  <c r="I65" i="3"/>
  <c r="H14" i="2"/>
  <c r="Z8" i="4" l="1"/>
  <c r="D27" i="1"/>
  <c r="R27" i="1" s="1"/>
  <c r="D28" i="1"/>
  <c r="M22" i="5"/>
  <c r="AD22" i="5" s="1"/>
  <c r="R17" i="1"/>
  <c r="D21" i="1"/>
  <c r="D38" i="1" s="1"/>
  <c r="D36" i="1"/>
  <c r="D40" i="1"/>
  <c r="H36" i="1"/>
  <c r="H40" i="1"/>
  <c r="I36" i="1"/>
  <c r="I40" i="1"/>
  <c r="M36" i="1"/>
  <c r="M40" i="1"/>
  <c r="D14" i="1"/>
  <c r="L13" i="2"/>
  <c r="AC13" i="2" s="1"/>
  <c r="B36" i="1"/>
  <c r="B40" i="1"/>
  <c r="F36" i="1"/>
  <c r="F40" i="1"/>
  <c r="J36" i="1"/>
  <c r="J40" i="1"/>
  <c r="N36" i="1"/>
  <c r="N40" i="1"/>
  <c r="L36" i="1"/>
  <c r="L40" i="1"/>
  <c r="G36" i="1"/>
  <c r="G40" i="1"/>
  <c r="K36" i="1"/>
  <c r="K40" i="1"/>
  <c r="O36" i="1"/>
  <c r="O40" i="1"/>
  <c r="AA23" i="5"/>
  <c r="AA21" i="5"/>
  <c r="L12" i="2"/>
  <c r="AC12" i="2" s="1"/>
  <c r="AC3" i="2"/>
  <c r="R24" i="1"/>
  <c r="S24" i="1"/>
  <c r="C36" i="1"/>
  <c r="R23" i="1"/>
  <c r="E36" i="1"/>
  <c r="S23" i="1"/>
  <c r="L30" i="1"/>
  <c r="L41" i="1" s="1"/>
  <c r="H30" i="1"/>
  <c r="H41" i="1" s="1"/>
  <c r="G30" i="1"/>
  <c r="G41" i="1" s="1"/>
  <c r="K30" i="1"/>
  <c r="K41" i="1" s="1"/>
  <c r="O30" i="1"/>
  <c r="O41" i="1" s="1"/>
  <c r="J30" i="1"/>
  <c r="J41" i="1" s="1"/>
  <c r="E30" i="1"/>
  <c r="E41" i="1" s="1"/>
  <c r="I30" i="1"/>
  <c r="I41" i="1" s="1"/>
  <c r="M30" i="1"/>
  <c r="M41" i="1" s="1"/>
  <c r="F30" i="1"/>
  <c r="F41" i="1" s="1"/>
  <c r="N30" i="1"/>
  <c r="N41" i="1" s="1"/>
  <c r="C30" i="1"/>
  <c r="C41" i="1" s="1"/>
  <c r="D30" i="1"/>
  <c r="D41" i="1" s="1"/>
  <c r="B30" i="1"/>
  <c r="B41" i="1" s="1"/>
  <c r="H6" i="4"/>
  <c r="L6" i="4"/>
  <c r="K6" i="4"/>
  <c r="J6" i="4"/>
  <c r="W6" i="4"/>
  <c r="V6" i="4"/>
  <c r="U6" i="4"/>
  <c r="T6" i="4"/>
  <c r="S6" i="4"/>
  <c r="R6" i="4"/>
  <c r="Q6" i="4"/>
  <c r="P6" i="4"/>
  <c r="O6" i="4"/>
  <c r="N6" i="4"/>
  <c r="AB23" i="5"/>
  <c r="AD23" i="5"/>
  <c r="AB64" i="3"/>
  <c r="AD64" i="3"/>
  <c r="AB65" i="3"/>
  <c r="AD65" i="3"/>
  <c r="AA13" i="2"/>
  <c r="AA14" i="2"/>
  <c r="AC14" i="2"/>
  <c r="B16" i="1"/>
  <c r="B12" i="1"/>
  <c r="O16" i="1"/>
  <c r="N16" i="1"/>
  <c r="M16" i="1"/>
  <c r="L16" i="1"/>
  <c r="J16" i="1"/>
  <c r="I16" i="1"/>
  <c r="H16" i="1"/>
  <c r="O12" i="1"/>
  <c r="N12" i="1"/>
  <c r="M12" i="1"/>
  <c r="L12" i="1"/>
  <c r="J12" i="1"/>
  <c r="I12" i="1"/>
  <c r="H12" i="1"/>
  <c r="AB21" i="5"/>
  <c r="AD21" i="5"/>
  <c r="AD3" i="5"/>
  <c r="AB3" i="5"/>
  <c r="AA4" i="4"/>
  <c r="AB4" i="4" s="1"/>
  <c r="AC4" i="4"/>
  <c r="AA5" i="4"/>
  <c r="AB5" i="4" s="1"/>
  <c r="AC5" i="4"/>
  <c r="AC3" i="4"/>
  <c r="AA3" i="4"/>
  <c r="AB3" i="4" s="1"/>
  <c r="AB41" i="3"/>
  <c r="AC41" i="3" s="1"/>
  <c r="AD41" i="3"/>
  <c r="AB42" i="3"/>
  <c r="AC42" i="3" s="1"/>
  <c r="AD42" i="3"/>
  <c r="AB43" i="3"/>
  <c r="AC43" i="3" s="1"/>
  <c r="AD43" i="3"/>
  <c r="AB44" i="3"/>
  <c r="AC44" i="3" s="1"/>
  <c r="AD44" i="3"/>
  <c r="AB45" i="3"/>
  <c r="AC45" i="3" s="1"/>
  <c r="AD45" i="3"/>
  <c r="AB46" i="3"/>
  <c r="AC46" i="3" s="1"/>
  <c r="AD46" i="3"/>
  <c r="AB47" i="3"/>
  <c r="AC47" i="3" s="1"/>
  <c r="AD47" i="3"/>
  <c r="AB48" i="3"/>
  <c r="AC48" i="3" s="1"/>
  <c r="AD48" i="3"/>
  <c r="AB49" i="3"/>
  <c r="AC49" i="3" s="1"/>
  <c r="AD49" i="3"/>
  <c r="AB50" i="3"/>
  <c r="AC50" i="3" s="1"/>
  <c r="AD50" i="3"/>
  <c r="AB51" i="3"/>
  <c r="AC51" i="3" s="1"/>
  <c r="AD51" i="3"/>
  <c r="AB52" i="3"/>
  <c r="AC52" i="3" s="1"/>
  <c r="AD52" i="3"/>
  <c r="Z6" i="4" l="1"/>
  <c r="R28" i="1"/>
  <c r="D31" i="1"/>
  <c r="R21" i="1"/>
  <c r="D34" i="1"/>
  <c r="R34" i="1" s="1"/>
  <c r="N20" i="1"/>
  <c r="N37" i="1" s="1"/>
  <c r="O20" i="1"/>
  <c r="O37" i="1" s="1"/>
  <c r="J20" i="1"/>
  <c r="J37" i="1" s="1"/>
  <c r="H20" i="1"/>
  <c r="H33" i="1" s="1"/>
  <c r="K37" i="1"/>
  <c r="S36" i="1"/>
  <c r="R14" i="1"/>
  <c r="D22" i="1"/>
  <c r="AA6" i="4"/>
  <c r="S30" i="1"/>
  <c r="AC3" i="5"/>
  <c r="R30" i="1"/>
  <c r="AC3" i="3"/>
  <c r="M20" i="1"/>
  <c r="M37" i="1" s="1"/>
  <c r="I20" i="1"/>
  <c r="R36" i="1"/>
  <c r="B20" i="1"/>
  <c r="L20" i="1"/>
  <c r="AC6" i="4"/>
  <c r="O11" i="2"/>
  <c r="AA4" i="2"/>
  <c r="AB4" i="2" s="1"/>
  <c r="AA5" i="2"/>
  <c r="AB5" i="2" s="1"/>
  <c r="AA6" i="2"/>
  <c r="AB6" i="2" s="1"/>
  <c r="AA7" i="2"/>
  <c r="AB7" i="2" s="1"/>
  <c r="AA9" i="2"/>
  <c r="AB9" i="2" s="1"/>
  <c r="AA10" i="2"/>
  <c r="AB10" i="2" s="1"/>
  <c r="D42" i="1" l="1"/>
  <c r="R31" i="1"/>
  <c r="O33" i="1"/>
  <c r="O44" i="1" s="1"/>
  <c r="H37" i="1"/>
  <c r="J33" i="1"/>
  <c r="J44" i="1" s="1"/>
  <c r="M33" i="1"/>
  <c r="M44" i="1" s="1"/>
  <c r="N33" i="1"/>
  <c r="N44" i="1" s="1"/>
  <c r="I33" i="1"/>
  <c r="I44" i="1" s="1"/>
  <c r="I37" i="1"/>
  <c r="H44" i="1"/>
  <c r="L33" i="1"/>
  <c r="L44" i="1" s="1"/>
  <c r="L37" i="1"/>
  <c r="K33" i="1"/>
  <c r="K44" i="1" s="1"/>
  <c r="R22" i="1"/>
  <c r="D35" i="1"/>
  <c r="R35" i="1" s="1"/>
  <c r="D39" i="1"/>
  <c r="B37" i="1"/>
  <c r="S27" i="1"/>
  <c r="AA8" i="2"/>
  <c r="AB8" i="2" s="1"/>
  <c r="AC8" i="2"/>
  <c r="AA3" i="2" l="1"/>
  <c r="E16" i="1" l="1"/>
  <c r="E12" i="1"/>
  <c r="E20" i="1" l="1"/>
  <c r="E33" i="1" s="1"/>
  <c r="G12" i="1"/>
  <c r="G16" i="1"/>
  <c r="F16" i="1"/>
  <c r="F12" i="1"/>
  <c r="C16" i="1"/>
  <c r="C12" i="1"/>
  <c r="B33" i="1"/>
  <c r="B44" i="1" s="1"/>
  <c r="X62" i="3"/>
  <c r="W62" i="3"/>
  <c r="V62" i="3"/>
  <c r="U62" i="3"/>
  <c r="T62" i="3"/>
  <c r="S62" i="3"/>
  <c r="R62" i="3"/>
  <c r="Q62" i="3"/>
  <c r="P62" i="3"/>
  <c r="O62" i="3"/>
  <c r="L62" i="3"/>
  <c r="K62" i="3"/>
  <c r="I62" i="3"/>
  <c r="W11" i="2"/>
  <c r="V11" i="2"/>
  <c r="U11" i="2"/>
  <c r="T11" i="2"/>
  <c r="S11" i="2"/>
  <c r="R11" i="2"/>
  <c r="Q11" i="2"/>
  <c r="P11" i="2"/>
  <c r="N11" i="2"/>
  <c r="K11" i="2"/>
  <c r="J11" i="2"/>
  <c r="H11" i="2"/>
  <c r="AC10" i="2"/>
  <c r="AC9" i="2"/>
  <c r="AC7" i="2"/>
  <c r="AC6" i="2"/>
  <c r="AC5" i="2"/>
  <c r="AC4" i="2"/>
  <c r="S16" i="1" l="1"/>
  <c r="AA62" i="3"/>
  <c r="S12" i="1"/>
  <c r="Z11" i="2"/>
  <c r="E44" i="1"/>
  <c r="E37" i="1"/>
  <c r="C20" i="1"/>
  <c r="C37" i="1" s="1"/>
  <c r="F20" i="1"/>
  <c r="G20" i="1"/>
  <c r="AB62" i="3"/>
  <c r="AA8" i="4"/>
  <c r="AA11" i="2"/>
  <c r="AB3" i="2"/>
  <c r="D16" i="1"/>
  <c r="R16" i="1" s="1"/>
  <c r="L11" i="2"/>
  <c r="AC11" i="2" s="1"/>
  <c r="M62" i="3"/>
  <c r="AD62" i="3" s="1"/>
  <c r="D12" i="1"/>
  <c r="AC8" i="4"/>
  <c r="C33" i="1" l="1"/>
  <c r="C44" i="1" s="1"/>
  <c r="G33" i="1"/>
  <c r="G44" i="1" s="1"/>
  <c r="G37" i="1"/>
  <c r="F37" i="1"/>
  <c r="R12" i="1"/>
  <c r="S20" i="1"/>
  <c r="D20" i="1"/>
  <c r="F33" i="1"/>
  <c r="S33" i="1" l="1"/>
  <c r="F44" i="1"/>
  <c r="R20" i="1"/>
  <c r="D37" i="1"/>
  <c r="D33" i="1"/>
  <c r="R33" i="1" s="1"/>
  <c r="D44" i="1" l="1"/>
</calcChain>
</file>

<file path=xl/sharedStrings.xml><?xml version="1.0" encoding="utf-8"?>
<sst xmlns="http://schemas.openxmlformats.org/spreadsheetml/2006/main" count="761" uniqueCount="326">
  <si>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</si>
  <si>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</si>
  <si>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</si>
  <si>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</si>
  <si>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</si>
  <si>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</si>
  <si>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</si>
  <si>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</si>
  <si>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</si>
  <si>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</si>
  <si>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</si>
  <si>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</si>
  <si>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</si>
  <si>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</si>
  <si>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</si>
  <si>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</si>
  <si>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</si>
  <si>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</si>
  <si>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</si>
  <si>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</si>
  <si>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</si>
  <si>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</si>
  <si>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</si>
  <si>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</si>
  <si>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</si>
  <si>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</si>
  <si>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</si>
  <si>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</si>
  <si>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</si>
  <si>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</si>
  <si>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</si>
  <si>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</si>
  <si>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</si>
  <si>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</si>
  <si>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</si>
  <si>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</si>
  <si>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</si>
  <si>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</si>
  <si>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</si>
  <si>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</si>
  <si>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</si>
  <si>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</si>
  <si>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</si>
  <si>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</si>
  <si>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</si>
  <si>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</si>
  <si>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</si>
  <si>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</si>
  <si>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Lista zadań powiatowych i zadań gminnych rekomendowanych do dofinansowania w ramach Rządowego Funduszu Rozwoju Dróg</t>
  </si>
  <si>
    <t>RFRD/2023/P/11</t>
  </si>
  <si>
    <t>N</t>
  </si>
  <si>
    <t>Powiat Namysłowski</t>
  </si>
  <si>
    <t xml:space="preserve">Remont drogi powiatowej nr 1117 O w m. Ziemiełowice </t>
  </si>
  <si>
    <t>R</t>
  </si>
  <si>
    <t>kwiecień 2024 październik 2024</t>
  </si>
  <si>
    <t>RFRD/2023/P/4</t>
  </si>
  <si>
    <t>Powiat Nyski</t>
  </si>
  <si>
    <t>Przebudowa skrzyżowania dróg powiatowych nr 1673 O, 2233 O i 2234 O w Paczkowie</t>
  </si>
  <si>
    <t>P</t>
  </si>
  <si>
    <t>RFRD/2023/P/18</t>
  </si>
  <si>
    <t>W</t>
  </si>
  <si>
    <t>Powiat Kluczborski</t>
  </si>
  <si>
    <t>Remont drogi powiatowej nr 1321 O na odcinku o długości 3470 m (od km 11+990 do km 15+460)</t>
  </si>
  <si>
    <t>RFRD/2023/P/14</t>
  </si>
  <si>
    <t>Powiat Strzelecki</t>
  </si>
  <si>
    <t>Rozbudowa mostu JNI 30004499 w ciągu drogi powiatowej 1822 O Sucha - Rozmierka
 w m. Sucha ul. Kościelna</t>
  </si>
  <si>
    <t>B</t>
  </si>
  <si>
    <t>RFRD/2023/P/17</t>
  </si>
  <si>
    <t>Powiat Krapkowicki</t>
  </si>
  <si>
    <t>Rozbudowa skrzyżowania drogi powiatowej 1832 O ulicy Głównej z ulicami Wiejską i Kamienną w m. Górażdże</t>
  </si>
  <si>
    <t>RFRD/2023/P/15</t>
  </si>
  <si>
    <t>Rozbudowa drogi powiatowej nr 1810 na odcinku Walce- Dobieszowice</t>
  </si>
  <si>
    <t>maj 2024 październik 2024</t>
  </si>
  <si>
    <t>RFRD/2023/P/16</t>
  </si>
  <si>
    <t xml:space="preserve">Remont drogi powiatowej nr 1817 O na odcinku Kamień Śląski - granica powiatu - etap 2 </t>
  </si>
  <si>
    <t>RFRD/2023/P/2</t>
  </si>
  <si>
    <t>Powiat Głubczycki</t>
  </si>
  <si>
    <t>Przebudowa drogi nr 1225 O relacji Baborów - Sucha Psina na odcinku Czerwonków - Baborów</t>
  </si>
  <si>
    <t>RFRD/2022/G/52</t>
  </si>
  <si>
    <t>K</t>
  </si>
  <si>
    <t>Gmina Reńska Wieś</t>
  </si>
  <si>
    <t>Powiat Kędzierzyńsko - Kozielski</t>
  </si>
  <si>
    <t>Przebudowa z rozbudową ul. Pawłowickiej i ul. Kozielskiej w Reńskiej Wsi</t>
  </si>
  <si>
    <t>RFRD/2022/G/31</t>
  </si>
  <si>
    <t>Gmina Niemodlin</t>
  </si>
  <si>
    <t>Powiat Opolski</t>
  </si>
  <si>
    <t>Przebudowa i rozbudowa ul. Spacerowej i Gazowej w Niemodlinie</t>
  </si>
  <si>
    <t>kwiecień 2023 
sierpień 2024</t>
  </si>
  <si>
    <t>RFRD/2022/G/39</t>
  </si>
  <si>
    <t>Gmina Głuchołazy</t>
  </si>
  <si>
    <t>Rozbudowa drogi gminnej w miejscowości Jarnołtówek</t>
  </si>
  <si>
    <t>maj 2023                    kwiecień 2024</t>
  </si>
  <si>
    <t>RFRD/2022/G/24</t>
  </si>
  <si>
    <t>Gmina Kędzierzyn - Koźle</t>
  </si>
  <si>
    <t>Poprawa atrakcyjności i dostępności terenów inwestycyjnych poprzez przebudowę skrzyżowania ul. Szkolnej z ul. Zwycięstwa w Kędzierzynie - Koźlu</t>
  </si>
  <si>
    <t>RFRD/2022/G/83</t>
  </si>
  <si>
    <t>Gmina Ujazd</t>
  </si>
  <si>
    <t>Budowa dróg na osiedlu Piaski w Ujeździe</t>
  </si>
  <si>
    <t>czerwiec 2023 czerwiec 2024</t>
  </si>
  <si>
    <t>RFRD/2022/G/59</t>
  </si>
  <si>
    <t>Gmina Jemielnica</t>
  </si>
  <si>
    <t>Przebudowa dróg gminnych ul. Tulipanowej i części ul. Leśnej w miejscowości Jemielnica</t>
  </si>
  <si>
    <t>maj 2023 maj 2024</t>
  </si>
  <si>
    <t xml:space="preserve">RFRD/2022/G/92 </t>
  </si>
  <si>
    <t>Gmina Grodków</t>
  </si>
  <si>
    <t>Powiat Brzeski</t>
  </si>
  <si>
    <t>Remont układu komunikacyjnego na zapleczu rynku w Grodkowie</t>
  </si>
  <si>
    <t xml:space="preserve">RFRD/2022/G/34 </t>
  </si>
  <si>
    <t>Budowa drogi dojazdowej ul. Królowej Jadwigi w Głuchołazach</t>
  </si>
  <si>
    <t>wrzesień 2023 
sierpień 2024</t>
  </si>
  <si>
    <t>RFRD/2022/G/7</t>
  </si>
  <si>
    <t>Gmina Rudniki</t>
  </si>
  <si>
    <t>Powiat Oleski</t>
  </si>
  <si>
    <t>Przebudowa drogi gminnej nr 101036 O Nowy Bugaj - granica województwa śląskiego</t>
  </si>
  <si>
    <t>RFRD/2023/G/79</t>
  </si>
  <si>
    <t>Gmina Łubniany</t>
  </si>
  <si>
    <t>Budowa drogi gminnej ul. Osiedlowej w m. Jełowa</t>
  </si>
  <si>
    <t>RFRD/2023/G/20</t>
  </si>
  <si>
    <t>Budowa odcinka łącznika obwodnicy północnej miasta Kędzierzyn-Koźle (od ronda na ul. Szpaków do obwodnicy)</t>
  </si>
  <si>
    <t>RFRD/2023/G/77</t>
  </si>
  <si>
    <t>Gmina Dobrzeń Wielki</t>
  </si>
  <si>
    <t>Rozbudowa drogi gminnej ul. Sienkiewicza w m. Dobrzeń Wielki</t>
  </si>
  <si>
    <t>RFRD/2023/G/38</t>
  </si>
  <si>
    <t>Gmina Ozimek</t>
  </si>
  <si>
    <t>Rozbudowa drogi gminnej ul. Powstańców Śląskich w miejscowości Schodnia - etap II</t>
  </si>
  <si>
    <t>RFRD/2023/G/48</t>
  </si>
  <si>
    <t>Gmina Olesno</t>
  </si>
  <si>
    <t>Remont drogi relacji Łowoszów - Wojciechów</t>
  </si>
  <si>
    <t>RFRD/2023/G/57</t>
  </si>
  <si>
    <t>Gmina Brzeg</t>
  </si>
  <si>
    <t>Przebudowa ulicy Poprzecznej w Brzegu</t>
  </si>
  <si>
    <t>RFRD/2023/G/78</t>
  </si>
  <si>
    <t>Remont drogi powiatowej nr 1921 O Strojec - Żytniów na terenie Gminy Rudniki</t>
  </si>
  <si>
    <t>kwiecień 2024 listopad 2024</t>
  </si>
  <si>
    <t>RFRD/2023/G/21</t>
  </si>
  <si>
    <t>Remont drogi gminnej – ul. Sienkiewicza w Kędzierzynie-Koźlu</t>
  </si>
  <si>
    <t>kwiecień 2024 grudzień 2024</t>
  </si>
  <si>
    <t>RFRD/2023/G/31</t>
  </si>
  <si>
    <t xml:space="preserve"> Przebudowa ul. Grabskiego w Kędzierzynie-Koźlu</t>
  </si>
  <si>
    <t>RFRD/2023/G/63</t>
  </si>
  <si>
    <t>Gmina Krapkowice</t>
  </si>
  <si>
    <t xml:space="preserve">Powiat Krapkowicki </t>
  </si>
  <si>
    <t>Przebudowa_x000D_ ul. Mickiewicza w Steblowie</t>
  </si>
  <si>
    <t>RFRD/2023/G/76</t>
  </si>
  <si>
    <t>Rozbudowa drogi gminnej ul. Jańskiego w m. Dobrzeń Wielki - Etap II</t>
  </si>
  <si>
    <t>RFRD/2023/G/23</t>
  </si>
  <si>
    <t>Gmina Prudnik</t>
  </si>
  <si>
    <t>Powiat Prudnicki</t>
  </si>
  <si>
    <t>Przebudowa i rozbudowa ciągu ulic Ogrodowa, Chrobrego i Kochanowskiego w Prudniku</t>
  </si>
  <si>
    <t>marzec 2024 październik 2025</t>
  </si>
  <si>
    <t>RFRD/2023/G/92</t>
  </si>
  <si>
    <t>Budowa dróg na Osiedlu Kościuszki- Racławicka w Grodkowie</t>
  </si>
  <si>
    <t>RFRD/2023/G/52</t>
  </si>
  <si>
    <t>Gmina Dąbrowa</t>
  </si>
  <si>
    <t>Przebudowa ul. Szkolnej w Karczowie</t>
  </si>
  <si>
    <t>RFRD/2023/G/16</t>
  </si>
  <si>
    <t>Przebudowa ul. Miarki i Traugutta w Grodkowie</t>
  </si>
  <si>
    <t>RFRD/2023/G/62</t>
  </si>
  <si>
    <t>Budowa drogi stanowiącej łącznik pomiędzy drogą gminną - ul. Obuwników i drogą wojewódzką nr 415 - ul. Opolską w Krapkowicach</t>
  </si>
  <si>
    <t>RFRD/2023/G/80</t>
  </si>
  <si>
    <t xml:space="preserve"> Gmina Radłów</t>
  </si>
  <si>
    <t>Przebudowa drogi gminnej nr 101106 O Ligota Oleska - Wolęcin od km 1+880 do km 3+192</t>
  </si>
  <si>
    <t>RFRD/2023/G/65</t>
  </si>
  <si>
    <t>Gmina Dobrodzień</t>
  </si>
  <si>
    <t>Przebudowa ul. Opolskiej do skrzyżowania z ul. Powstańców Śląskich wraz z niezbędną infrastrukturą</t>
  </si>
  <si>
    <t>RFRD/2023/G/95</t>
  </si>
  <si>
    <t>Gmina Wołczyn</t>
  </si>
  <si>
    <t>Przebudowa dróg koło świetlicy wiejskiej w Brunach</t>
  </si>
  <si>
    <t>maj 2024 listopad 2024</t>
  </si>
  <si>
    <t>RFRD/2023/G/33</t>
  </si>
  <si>
    <t xml:space="preserve">Gmina Bierawa </t>
  </si>
  <si>
    <t>Przebudowa ulicy Cichej i odcinka ulicy Zbożowej w Bierawie</t>
  </si>
  <si>
    <t>marzec 2024 grudzień 2024</t>
  </si>
  <si>
    <t>RFRD/2023/G/41</t>
  </si>
  <si>
    <t>Gmina Kluczbork</t>
  </si>
  <si>
    <t>RFRD/2023/G/50</t>
  </si>
  <si>
    <t>Gmina Strzelce Opolskie</t>
  </si>
  <si>
    <t>Przebudowa ul. Marka Prawego w Strzelcach Opolskich – etap I</t>
  </si>
  <si>
    <t>RFRD/2023/G/56</t>
  </si>
  <si>
    <t>Budowa ul. Śliwkowej w Brzegu</t>
  </si>
  <si>
    <t>RFRD/2023/G/46</t>
  </si>
  <si>
    <t>Budowa drogi gminnej - ul. Złota w Większycach</t>
  </si>
  <si>
    <t>czerwiec 2024 wrzesień 2024</t>
  </si>
  <si>
    <t>RFRD/2023/G/19</t>
  </si>
  <si>
    <t>Gmina Gogolin</t>
  </si>
  <si>
    <t>Budowa drogi wewnętrznej ulicy Johanna Krolla wraz z odwodnieniem i przebudową słupów energetycznych w miejscowości Gogolin</t>
  </si>
  <si>
    <t>RFRD/2023/G/88</t>
  </si>
  <si>
    <t>Przebudowa dróg gminnych ul. Sosnowej i Brzozowej w miejscowości Jemielnica</t>
  </si>
  <si>
    <t>RFRD/2023/G/32</t>
  </si>
  <si>
    <t>Przebudowa i rozbudowa ul. Nektarowej w Kędzierzynie-Koźlu</t>
  </si>
  <si>
    <t>RFRD/2023/G/12</t>
  </si>
  <si>
    <t>Budowa drogi ul. Lompy w Głuchołazach</t>
  </si>
  <si>
    <t>luty 2024 grudzień 2024</t>
  </si>
  <si>
    <t>RFRD/2023/G/17</t>
  </si>
  <si>
    <t>Budowa drogi gminnej w Olszowej położonej na działce nr 116/9</t>
  </si>
  <si>
    <t>RFRD/2023/G/90</t>
  </si>
  <si>
    <t>Budowa drogi gminnej ulicy Madalińskiego - boczna w m. Piotrówka</t>
  </si>
  <si>
    <t>maj 2024 lipiec 2024</t>
  </si>
  <si>
    <t>RFRD/2023/G/70</t>
  </si>
  <si>
    <t>Gmina Namysłów</t>
  </si>
  <si>
    <t>Budowa dróg gminnych - ul. Dębowej, ul. Jodłowej, ul. Modrzewiowej oraz ul. Orzechowej wraz z kanalizacją deszczową i oświetleniem</t>
  </si>
  <si>
    <t>styczeń 2024 listopad 2025</t>
  </si>
  <si>
    <t>RFRD/2023/G/29</t>
  </si>
  <si>
    <t>Budowa drogi gminnej w Podlesiu</t>
  </si>
  <si>
    <t>RFRD/2023/G/86</t>
  </si>
  <si>
    <t>Gmina Prószków</t>
  </si>
  <si>
    <t xml:space="preserve">Powiat Opolski </t>
  </si>
  <si>
    <t xml:space="preserve">Przebudowa ul. Stawowej w miejscowości Prószków </t>
  </si>
  <si>
    <t>styczeń 2024 sierpień 2024</t>
  </si>
  <si>
    <t>RFRD/2023/G/68</t>
  </si>
  <si>
    <t>Przebudowa drogi w Przeczowie</t>
  </si>
  <si>
    <t>styczeń 2024 listopad 2024</t>
  </si>
  <si>
    <t>RFRD/2023/G/55</t>
  </si>
  <si>
    <t>Gmina Kietrz</t>
  </si>
  <si>
    <t>Przebudowa drogi gminnej - ulicy Lubotyńskiej wraz z budową sieci oświetlenia ulicznego, budową sieci wodociągowej, rozbudową sieci kanalizacji deszczowej oraz budową parkingu</t>
  </si>
  <si>
    <t>RFRD/2023/G/54</t>
  </si>
  <si>
    <t>Przebudowa drogi wewnętrznej do parametrów drogi publicznej zlokalizowanej na działkach nr 1135,1164,1136,1142/2,1134/2 w miejscowości Nowa Cerekwia</t>
  </si>
  <si>
    <t>RFRD/2023/G/67</t>
  </si>
  <si>
    <t>Przebudowa ul. Dębowej w m. Gosławice</t>
  </si>
  <si>
    <t>marzec 2024 sierpień 2024</t>
  </si>
  <si>
    <t>RFRD/2023/G/1</t>
  </si>
  <si>
    <t>Gmina Strzeleczki</t>
  </si>
  <si>
    <t>1605032</t>
  </si>
  <si>
    <t>Remont ulicy Słowackiego wraz z przebudową kanalizacji deszczowej w Strzeleczkach</t>
  </si>
  <si>
    <t>RFRD/2023/G/47</t>
  </si>
  <si>
    <t>Remont drogi gminnej - ul. Żabnik w Długomiłowicach - odcinek 3</t>
  </si>
  <si>
    <t>RFRD/2023/G/30</t>
  </si>
  <si>
    <t>Gmina Skoroszyce</t>
  </si>
  <si>
    <t xml:space="preserve">Przebudowa i rozbudowa dróg w Skoroszycach - ulice: Słoneczna, Ogrodowa, Działkowa - Etap 1. ulica Słoneczna </t>
  </si>
  <si>
    <t>RFRD/2023/G/7</t>
  </si>
  <si>
    <t>Przebudowa i rozbudowa dróg w Skoroszycach - ulice: Słoneczna, Ogrodowa, Działkowa - Etap 2. ulice. Słoneczna i Ogrodowa</t>
  </si>
  <si>
    <t>RFRD/2023/G/37</t>
  </si>
  <si>
    <t xml:space="preserve"> Powiat Opolski</t>
  </si>
  <si>
    <t>Remont_x000D_ nawierzchni jezdni drogi gminnej nr 103380 O - ul. Korczaka w m. Ozimek</t>
  </si>
  <si>
    <t>RFRD/2023/G/40</t>
  </si>
  <si>
    <t>Remont drogi gminnej ul. Szkolnej w m. Chróścina</t>
  </si>
  <si>
    <t>RFRD/2023/G/13</t>
  </si>
  <si>
    <t>Budowa drogi ul. Lutosławskiego, Ornowskiego, Nowowiejskiego w Głuchołazach</t>
  </si>
  <si>
    <t>9*</t>
  </si>
  <si>
    <t>Gmina Zawadzkie</t>
  </si>
  <si>
    <t>Remont nawierzchni jezdni i chodników ulicy Mickiewicza w Zawadzkiem wraz z przebudową kanalizacji deszczowej</t>
  </si>
  <si>
    <t>lipiec 2024 grudzień 2024</t>
  </si>
  <si>
    <t>Przebudowa i rozbudowa ul. Krótkiej i ul. Sportowej w Sidzinie</t>
  </si>
  <si>
    <t>Przebudowa drogi gminnej ul. Dębowej w miejscowości Jemielnica</t>
  </si>
  <si>
    <t>lipiec 2024 listopad 2024</t>
  </si>
  <si>
    <t>Przebudowa ul. Leśnej w Ciepielowicach</t>
  </si>
  <si>
    <t>RFRD/2023/G/9</t>
  </si>
  <si>
    <t>Remont nawierzchni asfaltowej ul. Kopernika</t>
  </si>
  <si>
    <t>luty 2024 listopad 2024</t>
  </si>
  <si>
    <t>Przebudowa drogi gminnej ul. Krótkiej w m. Jemielnica</t>
  </si>
  <si>
    <t>Przebudowa dróg w miejscowości Smarchowice Wielkie</t>
  </si>
  <si>
    <t>Rozbudowa dróg w Chróścinie ETAP 2. - ul. Słoneczna, Leśna, Cicha i części ul. Kasztanowej</t>
  </si>
  <si>
    <t>RFRD/2023/G/8</t>
  </si>
  <si>
    <t>Remont nawierzchni asfaltowej ul. Koszyka w Głuchołazach</t>
  </si>
  <si>
    <t>RFRD/2023/G/87</t>
  </si>
  <si>
    <t xml:space="preserve">Gmina Walce </t>
  </si>
  <si>
    <t>Remont ulicy Grobla i Krzewiaki w Walcach</t>
  </si>
  <si>
    <t>kwiecień 2024 padździernik 2024</t>
  </si>
  <si>
    <t>RFRD/2023/G/3</t>
  </si>
  <si>
    <t>Przebudowa drogi w miejscowości Giełczyce</t>
  </si>
  <si>
    <t>RFRD/2023/G/64</t>
  </si>
  <si>
    <t>Gmina Leśnica</t>
  </si>
  <si>
    <t>Remont drogi gminnej nr 105932 O ul. Słowackiego w Raszowej</t>
  </si>
  <si>
    <t>styczeń 2024 wrzesień 2024</t>
  </si>
  <si>
    <t>RFRD/2023/G/44</t>
  </si>
  <si>
    <t>Budowa drogi gminnej - ul. Pogodna w Większycach</t>
  </si>
  <si>
    <t>RFRD/2023/G/28</t>
  </si>
  <si>
    <t>Remont nawierzchni asfaltowej ul. Poprzeczna w Głuchołazach</t>
  </si>
  <si>
    <t>RFRD/2023/G/27</t>
  </si>
  <si>
    <t>Remont nawierzchni asfaltowej ul. Ogińskiego w Głuchołazach</t>
  </si>
  <si>
    <t>RFRD/2023/G/24</t>
  </si>
  <si>
    <t>Remont nawierzchni bitumicznej ul. Wyspiańskiego w Głuchołazach</t>
  </si>
  <si>
    <t>RFRD/2023/G/25</t>
  </si>
  <si>
    <t>Remont nawierzchni asfaltowej ul. Mickiewicza w Głuchołazach</t>
  </si>
  <si>
    <t>RFRD/2023/G/26</t>
  </si>
  <si>
    <t>Remont nawierzchni asfaltowej ul. Okulickiego w Głuchołazach</t>
  </si>
  <si>
    <t>Województwo: Opolskie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</si>
  <si>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na 2024 r.</t>
    </r>
  </si>
  <si>
    <t>Lista zmieniona nr 1</t>
  </si>
  <si>
    <t>REZYGNACJA</t>
  </si>
  <si>
    <t>wrzesień 2023 sierpień 2025</t>
  </si>
  <si>
    <t xml:space="preserve"> </t>
  </si>
  <si>
    <t>grudzień 2023 wrzesień 2024</t>
  </si>
  <si>
    <t>styczeń 2024 październik 2024</t>
  </si>
  <si>
    <t>styczeń 2024 luty 2025</t>
  </si>
  <si>
    <t>luty 2024 sierpień 2024</t>
  </si>
  <si>
    <t>RFRD/2023/G/58 przeniesiono z listy rezerwowej</t>
  </si>
  <si>
    <t>RFRD/2023/G/89 przeniesiono z listy rezerwowej</t>
  </si>
  <si>
    <t>RFRD/2023/G/58 zadanie przeniesione na listę podstawową</t>
  </si>
  <si>
    <t xml:space="preserve">RFRD/2023/G/5 </t>
  </si>
  <si>
    <t>RFRD/2023/G/89 zadanie przeniesione na listę podstawową</t>
  </si>
  <si>
    <t xml:space="preserve">styczeń 2024 luty 2025 </t>
  </si>
  <si>
    <t>styczeń 2024 kwiecień 2024</t>
  </si>
  <si>
    <t>styczeń 2024 lipiec 2024</t>
  </si>
  <si>
    <t>RFRD/2023/G/51 przeniesiono z listy rezerwowej</t>
  </si>
  <si>
    <t>RFRD/2023/G/91 przeniesiono z listy rezerwowej</t>
  </si>
  <si>
    <t>RFRD/2023/G/69 przeniesiono z listy rezerwowej</t>
  </si>
  <si>
    <t>RFRD/2023/G/51 zadanie przeniesione na listę podstawową</t>
  </si>
  <si>
    <t>RFRD/2023/G/91 zadanie przeniesione na listę podstawową</t>
  </si>
  <si>
    <t>RFRD/2023/G/69 zadanie przeniesione na listę podstawową</t>
  </si>
  <si>
    <t>styczeń 2024 maj 2024</t>
  </si>
  <si>
    <t>luty 2024 maj 2024</t>
  </si>
  <si>
    <t>maj 2023 
kwiecień 2024</t>
  </si>
  <si>
    <t>październik 2023 październik 2024</t>
  </si>
  <si>
    <t>kwiecień 2024 sierpień 2025</t>
  </si>
  <si>
    <t>kwiwcień 2024 listopad 2025</t>
  </si>
  <si>
    <t>marzec 2024 wrzesień 2024</t>
  </si>
  <si>
    <t>Remont drogi ul. Grunwaldzkiej w Kluczborku</t>
  </si>
  <si>
    <t>luty 2024 luty 2025</t>
  </si>
  <si>
    <t>marzec 2024 lipiec 2024</t>
  </si>
  <si>
    <t>59*</t>
  </si>
  <si>
    <t>RFRD/2023/G/4 przeniesiono z listy rezerwowej</t>
  </si>
  <si>
    <t>RFRD/2023/G/4 zadanie przeniesione na listę podstawową</t>
  </si>
  <si>
    <t>czerwiec 2023 
lipiec 2024</t>
  </si>
  <si>
    <t>czerwiec 2024 
maj  2025</t>
  </si>
  <si>
    <t>lipiec 2024 
wrzesień 2024</t>
  </si>
  <si>
    <t>maj 2024 
czerwiec 2026</t>
  </si>
  <si>
    <t>luty 2024 
październik 2024</t>
  </si>
  <si>
    <t>maj 2024 
wrzesień 2024</t>
  </si>
  <si>
    <t>luty 2024 
sierpień 2024</t>
  </si>
  <si>
    <t>styczeń 2024 
lipiec 2024</t>
  </si>
  <si>
    <t>maj 2024 
październik 2024</t>
  </si>
  <si>
    <t>czerwiec 2024 
lipiec 2025</t>
  </si>
  <si>
    <t>luty 2024 
grudzień 2024</t>
  </si>
  <si>
    <t>marzec 2024 
listopad 2024</t>
  </si>
  <si>
    <t>maj 2024 
listopad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</si>
</sst>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"/>
    <numFmt numFmtId="165" formatCode="#,##0.00\ &quot;zł&quot;"/>
    <numFmt numFmtId="166" formatCode="#,##0.000"/>
    <numFmt numFmtId="167" formatCode="0.000"/>
    <numFmt numFmtId="168" formatCode="#,##0.00_ ;\-#,##0.00\ 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9"/>
      <color rgb="FFFFC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3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0" fillId="0" borderId="0" xfId="0" applyFont="1" applyBorder="1"/>
    <xf numFmtId="4" fontId="11" fillId="0" borderId="0" xfId="0" applyNumberFormat="1" applyFont="1" applyFill="1" applyBorder="1" applyAlignment="1"/>
    <xf numFmtId="4" fontId="11" fillId="0" borderId="0" xfId="0" applyNumberFormat="1" applyFont="1" applyBorder="1" applyAlignment="1"/>
    <xf numFmtId="0" fontId="1" fillId="0" borderId="0" xfId="0" applyFont="1"/>
    <xf numFmtId="4" fontId="11" fillId="0" borderId="0" xfId="0" applyNumberFormat="1" applyFont="1" applyFill="1" applyBorder="1" applyAlignment="1">
      <alignment vertical="top"/>
    </xf>
    <xf numFmtId="4" fontId="11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wrapText="1" shrinkToFit="1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4" fillId="0" borderId="0" xfId="0" applyFont="1"/>
    <xf numFmtId="0" fontId="17" fillId="0" borderId="0" xfId="0" applyFont="1"/>
    <xf numFmtId="4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 shrinkToFit="1"/>
    </xf>
    <xf numFmtId="0" fontId="17" fillId="0" borderId="0" xfId="0" applyFont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165" fontId="13" fillId="5" borderId="23" xfId="0" applyNumberFormat="1" applyFont="1" applyFill="1" applyBorder="1" applyAlignment="1">
      <alignment vertical="center"/>
    </xf>
    <xf numFmtId="165" fontId="19" fillId="5" borderId="23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right" vertical="center" wrapText="1"/>
    </xf>
    <xf numFmtId="49" fontId="21" fillId="0" borderId="1" xfId="0" applyNumberFormat="1" applyFont="1" applyFill="1" applyBorder="1" applyAlignment="1">
      <alignment horizontal="right" vertical="center" wrapText="1"/>
    </xf>
    <xf numFmtId="166" fontId="21" fillId="0" borderId="1" xfId="0" applyNumberFormat="1" applyFont="1" applyFill="1" applyBorder="1" applyAlignment="1">
      <alignment horizontal="right" vertical="center"/>
    </xf>
    <xf numFmtId="164" fontId="21" fillId="0" borderId="1" xfId="0" applyNumberFormat="1" applyFont="1" applyFill="1" applyBorder="1" applyAlignment="1">
      <alignment horizontal="right" vertical="center" wrapText="1"/>
    </xf>
    <xf numFmtId="9" fontId="21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166" fontId="25" fillId="2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9" fontId="25" fillId="2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166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9" fontId="26" fillId="2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Border="1" applyAlignment="1">
      <alignment horizontal="right" vertical="center"/>
    </xf>
    <xf numFmtId="0" fontId="16" fillId="0" borderId="1" xfId="0" applyFont="1" applyFill="1" applyBorder="1" applyAlignment="1">
      <alignment horizontal="right" vertical="center" wrapText="1"/>
    </xf>
    <xf numFmtId="49" fontId="16" fillId="0" borderId="1" xfId="0" applyNumberFormat="1" applyFont="1" applyFill="1" applyBorder="1" applyAlignment="1">
      <alignment horizontal="right" vertical="center" wrapText="1"/>
    </xf>
    <xf numFmtId="166" fontId="16" fillId="0" borderId="1" xfId="0" applyNumberFormat="1" applyFont="1" applyFill="1" applyBorder="1" applyAlignment="1">
      <alignment horizontal="right" vertical="center"/>
    </xf>
    <xf numFmtId="164" fontId="16" fillId="0" borderId="1" xfId="0" applyNumberFormat="1" applyFont="1" applyFill="1" applyBorder="1" applyAlignment="1">
      <alignment horizontal="right" vertical="center" wrapText="1"/>
    </xf>
    <xf numFmtId="4" fontId="25" fillId="0" borderId="1" xfId="0" applyNumberFormat="1" applyFont="1" applyFill="1" applyBorder="1" applyAlignment="1">
      <alignment horizontal="right" vertical="center"/>
    </xf>
    <xf numFmtId="4" fontId="25" fillId="0" borderId="1" xfId="0" applyNumberFormat="1" applyFont="1" applyFill="1" applyBorder="1" applyAlignment="1">
      <alignment horizontal="right" vertical="center" wrapText="1"/>
    </xf>
    <xf numFmtId="9" fontId="16" fillId="0" borderId="1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vertical="center" wrapText="1"/>
    </xf>
    <xf numFmtId="4" fontId="26" fillId="0" borderId="1" xfId="0" applyNumberFormat="1" applyFont="1" applyBorder="1" applyAlignment="1">
      <alignment vertical="center" wrapText="1"/>
    </xf>
    <xf numFmtId="165" fontId="19" fillId="3" borderId="1" xfId="0" applyNumberFormat="1" applyFont="1" applyFill="1" applyBorder="1" applyAlignment="1">
      <alignment vertical="center"/>
    </xf>
    <xf numFmtId="165" fontId="13" fillId="4" borderId="1" xfId="0" applyNumberFormat="1" applyFont="1" applyFill="1" applyBorder="1" applyAlignment="1">
      <alignment vertical="center"/>
    </xf>
    <xf numFmtId="165" fontId="14" fillId="6" borderId="1" xfId="0" applyNumberFormat="1" applyFont="1" applyFill="1" applyBorder="1" applyAlignment="1">
      <alignment vertical="center"/>
    </xf>
    <xf numFmtId="165" fontId="13" fillId="3" borderId="1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165" fontId="13" fillId="4" borderId="22" xfId="0" applyNumberFormat="1" applyFont="1" applyFill="1" applyBorder="1" applyAlignment="1">
      <alignment vertical="center"/>
    </xf>
    <xf numFmtId="0" fontId="19" fillId="3" borderId="3" xfId="0" applyNumberFormat="1" applyFont="1" applyFill="1" applyBorder="1" applyAlignment="1">
      <alignment vertical="center"/>
    </xf>
    <xf numFmtId="0" fontId="13" fillId="3" borderId="3" xfId="0" applyNumberFormat="1" applyFont="1" applyFill="1" applyBorder="1" applyAlignment="1">
      <alignment vertical="center"/>
    </xf>
    <xf numFmtId="0" fontId="13" fillId="4" borderId="3" xfId="0" applyNumberFormat="1" applyFont="1" applyFill="1" applyBorder="1" applyAlignment="1">
      <alignment vertical="center"/>
    </xf>
    <xf numFmtId="0" fontId="14" fillId="6" borderId="3" xfId="0" applyNumberFormat="1" applyFont="1" applyFill="1" applyBorder="1" applyAlignment="1">
      <alignment vertical="center"/>
    </xf>
    <xf numFmtId="0" fontId="13" fillId="4" borderId="23" xfId="0" applyFont="1" applyFill="1" applyBorder="1" applyAlignment="1">
      <alignment horizontal="left" vertical="center" indent="2"/>
    </xf>
    <xf numFmtId="165" fontId="19" fillId="3" borderId="2" xfId="0" applyNumberFormat="1" applyFont="1" applyFill="1" applyBorder="1" applyAlignment="1">
      <alignment vertical="center"/>
    </xf>
    <xf numFmtId="165" fontId="13" fillId="3" borderId="2" xfId="0" applyNumberFormat="1" applyFont="1" applyFill="1" applyBorder="1" applyAlignment="1">
      <alignment vertical="center"/>
    </xf>
    <xf numFmtId="165" fontId="13" fillId="4" borderId="2" xfId="0" applyNumberFormat="1" applyFont="1" applyFill="1" applyBorder="1" applyAlignment="1">
      <alignment vertical="center"/>
    </xf>
    <xf numFmtId="165" fontId="14" fillId="6" borderId="2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165" fontId="19" fillId="3" borderId="3" xfId="0" applyNumberFormat="1" applyFont="1" applyFill="1" applyBorder="1" applyAlignment="1">
      <alignment vertical="center"/>
    </xf>
    <xf numFmtId="165" fontId="13" fillId="3" borderId="3" xfId="0" applyNumberFormat="1" applyFont="1" applyFill="1" applyBorder="1" applyAlignment="1">
      <alignment vertical="center"/>
    </xf>
    <xf numFmtId="165" fontId="13" fillId="4" borderId="3" xfId="0" applyNumberFormat="1" applyFont="1" applyFill="1" applyBorder="1" applyAlignment="1">
      <alignment vertical="center"/>
    </xf>
    <xf numFmtId="165" fontId="14" fillId="6" borderId="3" xfId="0" applyNumberFormat="1" applyFont="1" applyFill="1" applyBorder="1" applyAlignment="1">
      <alignment vertical="center"/>
    </xf>
    <xf numFmtId="165" fontId="14" fillId="5" borderId="23" xfId="0" applyNumberFormat="1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3" fillId="0" borderId="31" xfId="0" applyFont="1" applyFill="1" applyBorder="1" applyAlignment="1">
      <alignment vertical="center"/>
    </xf>
    <xf numFmtId="0" fontId="13" fillId="0" borderId="32" xfId="0" applyNumberFormat="1" applyFont="1" applyFill="1" applyBorder="1" applyAlignment="1">
      <alignment vertical="center"/>
    </xf>
    <xf numFmtId="165" fontId="13" fillId="0" borderId="33" xfId="0" applyNumberFormat="1" applyFont="1" applyFill="1" applyBorder="1" applyAlignment="1">
      <alignment vertical="center"/>
    </xf>
    <xf numFmtId="165" fontId="13" fillId="0" borderId="34" xfId="0" applyNumberFormat="1" applyFont="1" applyFill="1" applyBorder="1" applyAlignment="1">
      <alignment vertical="center"/>
    </xf>
    <xf numFmtId="165" fontId="13" fillId="5" borderId="35" xfId="0" applyNumberFormat="1" applyFont="1" applyFill="1" applyBorder="1" applyAlignment="1">
      <alignment vertical="center"/>
    </xf>
    <xf numFmtId="165" fontId="13" fillId="0" borderId="32" xfId="0" applyNumberFormat="1" applyFont="1" applyFill="1" applyBorder="1" applyAlignment="1">
      <alignment vertical="center"/>
    </xf>
    <xf numFmtId="165" fontId="13" fillId="0" borderId="36" xfId="0" applyNumberFormat="1" applyFont="1" applyFill="1" applyBorder="1" applyAlignment="1">
      <alignment vertical="center"/>
    </xf>
    <xf numFmtId="0" fontId="19" fillId="0" borderId="37" xfId="0" applyFont="1" applyFill="1" applyBorder="1" applyAlignment="1">
      <alignment horizontal="left" vertical="center" wrapText="1" indent="2"/>
    </xf>
    <xf numFmtId="0" fontId="13" fillId="0" borderId="37" xfId="0" applyFont="1" applyFill="1" applyBorder="1" applyAlignment="1">
      <alignment horizontal="left" vertical="center" indent="2"/>
    </xf>
    <xf numFmtId="0" fontId="19" fillId="0" borderId="39" xfId="0" applyFont="1" applyFill="1" applyBorder="1" applyAlignment="1">
      <alignment horizontal="left" vertical="center" indent="2"/>
    </xf>
    <xf numFmtId="165" fontId="19" fillId="5" borderId="43" xfId="0" applyNumberFormat="1" applyFont="1" applyFill="1" applyBorder="1" applyAlignment="1">
      <alignment vertical="center"/>
    </xf>
    <xf numFmtId="0" fontId="20" fillId="3" borderId="31" xfId="0" applyFont="1" applyFill="1" applyBorder="1" applyAlignment="1">
      <alignment vertical="center"/>
    </xf>
    <xf numFmtId="0" fontId="20" fillId="3" borderId="32" xfId="0" applyNumberFormat="1" applyFont="1" applyFill="1" applyBorder="1" applyAlignment="1">
      <alignment vertical="center"/>
    </xf>
    <xf numFmtId="165" fontId="20" fillId="3" borderId="33" xfId="0" applyNumberFormat="1" applyFont="1" applyFill="1" applyBorder="1" applyAlignment="1">
      <alignment vertical="center"/>
    </xf>
    <xf numFmtId="165" fontId="20" fillId="3" borderId="34" xfId="0" applyNumberFormat="1" applyFont="1" applyFill="1" applyBorder="1" applyAlignment="1">
      <alignment vertical="center"/>
    </xf>
    <xf numFmtId="165" fontId="20" fillId="5" borderId="35" xfId="0" applyNumberFormat="1" applyFont="1" applyFill="1" applyBorder="1" applyAlignment="1">
      <alignment vertical="center"/>
    </xf>
    <xf numFmtId="165" fontId="20" fillId="3" borderId="32" xfId="0" applyNumberFormat="1" applyFont="1" applyFill="1" applyBorder="1" applyAlignment="1">
      <alignment vertical="center"/>
    </xf>
    <xf numFmtId="165" fontId="20" fillId="3" borderId="36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left" vertical="center" wrapText="1" indent="2"/>
    </xf>
    <xf numFmtId="165" fontId="19" fillId="3" borderId="38" xfId="0" applyNumberFormat="1" applyFont="1" applyFill="1" applyBorder="1" applyAlignment="1">
      <alignment vertical="center"/>
    </xf>
    <xf numFmtId="0" fontId="13" fillId="3" borderId="37" xfId="0" applyFont="1" applyFill="1" applyBorder="1" applyAlignment="1">
      <alignment horizontal="left" vertical="center" indent="2"/>
    </xf>
    <xf numFmtId="165" fontId="13" fillId="3" borderId="38" xfId="0" applyNumberFormat="1" applyFont="1" applyFill="1" applyBorder="1" applyAlignment="1">
      <alignment vertical="center"/>
    </xf>
    <xf numFmtId="0" fontId="19" fillId="3" borderId="39" xfId="0" applyFont="1" applyFill="1" applyBorder="1" applyAlignment="1">
      <alignment horizontal="left" vertical="center" indent="2"/>
    </xf>
    <xf numFmtId="0" fontId="19" fillId="3" borderId="40" xfId="0" applyNumberFormat="1" applyFont="1" applyFill="1" applyBorder="1" applyAlignment="1">
      <alignment vertical="center"/>
    </xf>
    <xf numFmtId="165" fontId="19" fillId="3" borderId="41" xfId="0" applyNumberFormat="1" applyFont="1" applyFill="1" applyBorder="1" applyAlignment="1">
      <alignment vertical="center"/>
    </xf>
    <xf numFmtId="165" fontId="19" fillId="3" borderId="42" xfId="0" applyNumberFormat="1" applyFont="1" applyFill="1" applyBorder="1" applyAlignment="1">
      <alignment vertical="center"/>
    </xf>
    <xf numFmtId="165" fontId="19" fillId="3" borderId="40" xfId="0" applyNumberFormat="1" applyFont="1" applyFill="1" applyBorder="1" applyAlignment="1">
      <alignment vertical="center"/>
    </xf>
    <xf numFmtId="165" fontId="19" fillId="3" borderId="44" xfId="0" applyNumberFormat="1" applyFont="1" applyFill="1" applyBorder="1" applyAlignment="1">
      <alignment vertical="center"/>
    </xf>
    <xf numFmtId="0" fontId="19" fillId="4" borderId="25" xfId="0" applyFont="1" applyFill="1" applyBorder="1" applyAlignment="1">
      <alignment horizontal="left" vertical="center" indent="2"/>
    </xf>
    <xf numFmtId="0" fontId="19" fillId="4" borderId="26" xfId="0" applyNumberFormat="1" applyFont="1" applyFill="1" applyBorder="1" applyAlignment="1">
      <alignment vertical="center"/>
    </xf>
    <xf numFmtId="165" fontId="19" fillId="4" borderId="4" xfId="0" applyNumberFormat="1" applyFont="1" applyFill="1" applyBorder="1" applyAlignment="1">
      <alignment vertical="center"/>
    </xf>
    <xf numFmtId="165" fontId="19" fillId="4" borderId="7" xfId="0" applyNumberFormat="1" applyFont="1" applyFill="1" applyBorder="1" applyAlignment="1">
      <alignment vertical="center"/>
    </xf>
    <xf numFmtId="165" fontId="19" fillId="5" borderId="25" xfId="0" applyNumberFormat="1" applyFont="1" applyFill="1" applyBorder="1" applyAlignment="1">
      <alignment vertical="center"/>
    </xf>
    <xf numFmtId="165" fontId="19" fillId="4" borderId="26" xfId="0" applyNumberFormat="1" applyFont="1" applyFill="1" applyBorder="1" applyAlignment="1">
      <alignment vertical="center"/>
    </xf>
    <xf numFmtId="165" fontId="19" fillId="4" borderId="27" xfId="0" applyNumberFormat="1" applyFont="1" applyFill="1" applyBorder="1" applyAlignment="1">
      <alignment vertical="center"/>
    </xf>
    <xf numFmtId="0" fontId="13" fillId="6" borderId="31" xfId="0" applyFont="1" applyFill="1" applyBorder="1" applyAlignment="1">
      <alignment vertical="center"/>
    </xf>
    <xf numFmtId="0" fontId="14" fillId="6" borderId="32" xfId="0" applyNumberFormat="1" applyFont="1" applyFill="1" applyBorder="1" applyAlignment="1">
      <alignment vertical="center"/>
    </xf>
    <xf numFmtId="165" fontId="14" fillId="6" borderId="33" xfId="0" applyNumberFormat="1" applyFont="1" applyFill="1" applyBorder="1" applyAlignment="1">
      <alignment vertical="center"/>
    </xf>
    <xf numFmtId="165" fontId="14" fillId="6" borderId="34" xfId="0" applyNumberFormat="1" applyFont="1" applyFill="1" applyBorder="1" applyAlignment="1">
      <alignment vertical="center"/>
    </xf>
    <xf numFmtId="165" fontId="14" fillId="5" borderId="35" xfId="0" applyNumberFormat="1" applyFont="1" applyFill="1" applyBorder="1" applyAlignment="1">
      <alignment vertical="center"/>
    </xf>
    <xf numFmtId="165" fontId="14" fillId="6" borderId="32" xfId="0" applyNumberFormat="1" applyFont="1" applyFill="1" applyBorder="1" applyAlignment="1">
      <alignment vertical="center"/>
    </xf>
    <xf numFmtId="165" fontId="14" fillId="6" borderId="36" xfId="0" applyNumberFormat="1" applyFont="1" applyFill="1" applyBorder="1" applyAlignment="1">
      <alignment vertical="center"/>
    </xf>
    <xf numFmtId="0" fontId="13" fillId="6" borderId="37" xfId="0" applyFont="1" applyFill="1" applyBorder="1" applyAlignment="1">
      <alignment horizontal="left" vertical="center" indent="2"/>
    </xf>
    <xf numFmtId="165" fontId="14" fillId="6" borderId="38" xfId="0" applyNumberFormat="1" applyFont="1" applyFill="1" applyBorder="1" applyAlignment="1">
      <alignment vertical="center"/>
    </xf>
    <xf numFmtId="0" fontId="19" fillId="6" borderId="39" xfId="0" applyFont="1" applyFill="1" applyBorder="1" applyAlignment="1">
      <alignment horizontal="left" vertical="center" indent="2"/>
    </xf>
    <xf numFmtId="0" fontId="19" fillId="6" borderId="40" xfId="0" applyNumberFormat="1" applyFont="1" applyFill="1" applyBorder="1" applyAlignment="1">
      <alignment vertical="center"/>
    </xf>
    <xf numFmtId="165" fontId="19" fillId="6" borderId="41" xfId="0" applyNumberFormat="1" applyFont="1" applyFill="1" applyBorder="1" applyAlignment="1">
      <alignment vertical="center"/>
    </xf>
    <xf numFmtId="165" fontId="19" fillId="6" borderId="42" xfId="0" applyNumberFormat="1" applyFont="1" applyFill="1" applyBorder="1" applyAlignment="1">
      <alignment vertical="center"/>
    </xf>
    <xf numFmtId="165" fontId="19" fillId="6" borderId="40" xfId="0" applyNumberFormat="1" applyFont="1" applyFill="1" applyBorder="1" applyAlignment="1">
      <alignment vertical="center"/>
    </xf>
    <xf numFmtId="165" fontId="19" fillId="6" borderId="44" xfId="0" applyNumberFormat="1" applyFont="1" applyFill="1" applyBorder="1" applyAlignment="1">
      <alignment vertical="center"/>
    </xf>
    <xf numFmtId="0" fontId="19" fillId="2" borderId="3" xfId="0" applyNumberFormat="1" applyFont="1" applyFill="1" applyBorder="1" applyAlignment="1">
      <alignment vertical="center"/>
    </xf>
    <xf numFmtId="165" fontId="19" fillId="2" borderId="1" xfId="0" applyNumberFormat="1" applyFont="1" applyFill="1" applyBorder="1" applyAlignment="1">
      <alignment vertical="center"/>
    </xf>
    <xf numFmtId="165" fontId="19" fillId="2" borderId="2" xfId="0" applyNumberFormat="1" applyFont="1" applyFill="1" applyBorder="1" applyAlignment="1">
      <alignment vertical="center"/>
    </xf>
    <xf numFmtId="0" fontId="13" fillId="2" borderId="3" xfId="0" applyNumberFormat="1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0" fontId="19" fillId="2" borderId="40" xfId="0" applyNumberFormat="1" applyFont="1" applyFill="1" applyBorder="1" applyAlignment="1">
      <alignment vertical="center"/>
    </xf>
    <xf numFmtId="165" fontId="19" fillId="2" borderId="41" xfId="0" applyNumberFormat="1" applyFont="1" applyFill="1" applyBorder="1" applyAlignment="1">
      <alignment vertical="center"/>
    </xf>
    <xf numFmtId="165" fontId="19" fillId="2" borderId="42" xfId="0" applyNumberFormat="1" applyFont="1" applyFill="1" applyBorder="1" applyAlignment="1">
      <alignment vertical="center"/>
    </xf>
    <xf numFmtId="165" fontId="19" fillId="2" borderId="3" xfId="0" applyNumberFormat="1" applyFont="1" applyFill="1" applyBorder="1" applyAlignment="1">
      <alignment vertical="center"/>
    </xf>
    <xf numFmtId="165" fontId="19" fillId="2" borderId="38" xfId="0" applyNumberFormat="1" applyFont="1" applyFill="1" applyBorder="1" applyAlignment="1">
      <alignment vertical="center"/>
    </xf>
    <xf numFmtId="165" fontId="13" fillId="2" borderId="3" xfId="0" applyNumberFormat="1" applyFont="1" applyFill="1" applyBorder="1" applyAlignment="1">
      <alignment vertical="center"/>
    </xf>
    <xf numFmtId="165" fontId="13" fillId="2" borderId="38" xfId="0" applyNumberFormat="1" applyFont="1" applyFill="1" applyBorder="1" applyAlignment="1">
      <alignment vertical="center"/>
    </xf>
    <xf numFmtId="165" fontId="19" fillId="2" borderId="40" xfId="0" applyNumberFormat="1" applyFont="1" applyFill="1" applyBorder="1" applyAlignment="1">
      <alignment vertical="center"/>
    </xf>
    <xf numFmtId="165" fontId="19" fillId="2" borderId="44" xfId="0" applyNumberFormat="1" applyFont="1" applyFill="1" applyBorder="1" applyAlignment="1">
      <alignment vertical="center"/>
    </xf>
    <xf numFmtId="165" fontId="13" fillId="2" borderId="32" xfId="0" applyNumberFormat="1" applyFont="1" applyFill="1" applyBorder="1" applyAlignment="1">
      <alignment vertical="center"/>
    </xf>
    <xf numFmtId="165" fontId="13" fillId="2" borderId="33" xfId="0" applyNumberFormat="1" applyFont="1" applyFill="1" applyBorder="1" applyAlignment="1">
      <alignment vertical="center"/>
    </xf>
    <xf numFmtId="165" fontId="13" fillId="2" borderId="36" xfId="0" applyNumberFormat="1" applyFont="1" applyFill="1" applyBorder="1" applyAlignment="1">
      <alignment vertical="center"/>
    </xf>
    <xf numFmtId="0" fontId="19" fillId="6" borderId="37" xfId="0" applyFont="1" applyFill="1" applyBorder="1" applyAlignment="1">
      <alignment horizontal="left" vertical="center" wrapText="1" indent="2"/>
    </xf>
    <xf numFmtId="0" fontId="19" fillId="6" borderId="29" xfId="0" applyNumberFormat="1" applyFont="1" applyFill="1" applyBorder="1" applyAlignment="1">
      <alignment vertical="center"/>
    </xf>
    <xf numFmtId="165" fontId="19" fillId="6" borderId="1" xfId="0" applyNumberFormat="1" applyFont="1" applyFill="1" applyBorder="1" applyAlignment="1">
      <alignment vertical="center"/>
    </xf>
    <xf numFmtId="165" fontId="19" fillId="6" borderId="2" xfId="0" applyNumberFormat="1" applyFont="1" applyFill="1" applyBorder="1" applyAlignment="1">
      <alignment vertical="center"/>
    </xf>
    <xf numFmtId="165" fontId="19" fillId="6" borderId="3" xfId="0" applyNumberFormat="1" applyFont="1" applyFill="1" applyBorder="1" applyAlignment="1">
      <alignment vertical="center"/>
    </xf>
    <xf numFmtId="165" fontId="19" fillId="6" borderId="38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7" fillId="4" borderId="28" xfId="0" applyFont="1" applyFill="1" applyBorder="1" applyAlignment="1">
      <alignment vertical="center"/>
    </xf>
    <xf numFmtId="0" fontId="27" fillId="4" borderId="29" xfId="0" applyNumberFormat="1" applyFont="1" applyFill="1" applyBorder="1" applyAlignment="1">
      <alignment vertical="center"/>
    </xf>
    <xf numFmtId="165" fontId="27" fillId="4" borderId="5" xfId="0" applyNumberFormat="1" applyFont="1" applyFill="1" applyBorder="1" applyAlignment="1">
      <alignment vertical="center"/>
    </xf>
    <xf numFmtId="165" fontId="27" fillId="4" borderId="8" xfId="0" applyNumberFormat="1" applyFont="1" applyFill="1" applyBorder="1" applyAlignment="1">
      <alignment vertical="center"/>
    </xf>
    <xf numFmtId="165" fontId="27" fillId="5" borderId="28" xfId="0" applyNumberFormat="1" applyFont="1" applyFill="1" applyBorder="1" applyAlignment="1">
      <alignment vertical="center"/>
    </xf>
    <xf numFmtId="165" fontId="27" fillId="4" borderId="29" xfId="0" applyNumberFormat="1" applyFont="1" applyFill="1" applyBorder="1" applyAlignment="1">
      <alignment vertical="center"/>
    </xf>
    <xf numFmtId="165" fontId="27" fillId="4" borderId="3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67" fontId="29" fillId="0" borderId="1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9" fontId="29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29" fillId="0" borderId="1" xfId="0" applyNumberFormat="1" applyFont="1" applyFill="1" applyBorder="1" applyAlignment="1">
      <alignment horizontal="center" vertical="center"/>
    </xf>
    <xf numFmtId="9" fontId="29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32" fillId="0" borderId="1" xfId="0" applyNumberFormat="1" applyFont="1" applyFill="1" applyBorder="1" applyAlignment="1">
      <alignment horizontal="center" vertical="center" wrapText="1"/>
    </xf>
    <xf numFmtId="4" fontId="29" fillId="0" borderId="2" xfId="0" applyNumberFormat="1" applyFont="1" applyFill="1" applyBorder="1" applyAlignment="1">
      <alignment horizontal="center" vertical="center"/>
    </xf>
    <xf numFmtId="168" fontId="29" fillId="0" borderId="1" xfId="5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2" fontId="35" fillId="0" borderId="1" xfId="0" applyNumberFormat="1" applyFont="1" applyFill="1" applyBorder="1" applyAlignment="1">
      <alignment vertical="center"/>
    </xf>
    <xf numFmtId="2" fontId="22" fillId="0" borderId="1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9" fontId="32" fillId="0" borderId="5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Fill="1" applyBorder="1" applyAlignment="1">
      <alignment vertical="center"/>
    </xf>
    <xf numFmtId="2" fontId="21" fillId="0" borderId="2" xfId="0" applyNumberFormat="1" applyFont="1" applyFill="1" applyBorder="1" applyAlignment="1">
      <alignment vertical="center"/>
    </xf>
    <xf numFmtId="2" fontId="21" fillId="0" borderId="1" xfId="0" applyNumberFormat="1" applyFont="1" applyFill="1" applyBorder="1" applyAlignment="1">
      <alignment vertical="center" wrapText="1"/>
    </xf>
    <xf numFmtId="4" fontId="21" fillId="0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vertical="center"/>
    </xf>
    <xf numFmtId="4" fontId="0" fillId="0" borderId="0" xfId="0" applyNumberFormat="1"/>
    <xf numFmtId="0" fontId="4" fillId="0" borderId="29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9" fontId="18" fillId="0" borderId="0" xfId="2" applyFont="1" applyFill="1" applyAlignment="1">
      <alignment horizontal="center" vertical="center"/>
    </xf>
    <xf numFmtId="4" fontId="18" fillId="0" borderId="0" xfId="0" applyNumberFormat="1" applyFont="1" applyFill="1" applyAlignment="1">
      <alignment horizontal="center" vertical="center"/>
    </xf>
    <xf numFmtId="0" fontId="18" fillId="0" borderId="0" xfId="0" applyFont="1" applyFill="1"/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9" fontId="28" fillId="0" borderId="0" xfId="2" applyFont="1" applyFill="1" applyAlignment="1">
      <alignment horizontal="center" vertical="center"/>
    </xf>
    <xf numFmtId="4" fontId="28" fillId="0" borderId="0" xfId="0" applyNumberFormat="1" applyFont="1" applyFill="1" applyAlignment="1">
      <alignment horizontal="center" vertical="center"/>
    </xf>
    <xf numFmtId="0" fontId="28" fillId="0" borderId="0" xfId="0" applyFont="1" applyFill="1"/>
    <xf numFmtId="10" fontId="4" fillId="0" borderId="1" xfId="0" applyNumberFormat="1" applyFont="1" applyFill="1" applyBorder="1" applyAlignment="1">
      <alignment horizontal="center" vertical="center" wrapText="1"/>
    </xf>
    <xf numFmtId="9" fontId="33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0" fillId="0" borderId="0" xfId="2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31" fillId="0" borderId="2" xfId="0" applyNumberFormat="1" applyFont="1" applyFill="1" applyBorder="1" applyAlignment="1">
      <alignment vertical="center"/>
    </xf>
    <xf numFmtId="10" fontId="4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2" fontId="30" fillId="0" borderId="1" xfId="0" applyNumberFormat="1" applyFont="1" applyFill="1" applyBorder="1" applyAlignment="1">
      <alignment vertical="center" wrapText="1"/>
    </xf>
    <xf numFmtId="4" fontId="29" fillId="0" borderId="1" xfId="0" applyNumberFormat="1" applyFont="1" applyFill="1" applyBorder="1" applyAlignment="1">
      <alignment horizontal="right" vertical="center"/>
    </xf>
    <xf numFmtId="4" fontId="30" fillId="0" borderId="1" xfId="0" applyNumberFormat="1" applyFont="1" applyFill="1" applyBorder="1" applyAlignment="1">
      <alignment vertical="center" wrapText="1"/>
    </xf>
    <xf numFmtId="0" fontId="4" fillId="0" borderId="47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67" fontId="4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/>
    </xf>
    <xf numFmtId="166" fontId="25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9" fontId="25" fillId="0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right" vertical="center"/>
    </xf>
    <xf numFmtId="166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9" fontId="26" fillId="0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right" vertical="center"/>
    </xf>
    <xf numFmtId="10" fontId="0" fillId="0" borderId="0" xfId="0" applyNumberFormat="1" applyFill="1"/>
    <xf numFmtId="4" fontId="0" fillId="0" borderId="0" xfId="0" applyNumberFormat="1" applyFill="1"/>
    <xf numFmtId="4" fontId="1" fillId="0" borderId="0" xfId="0" applyNumberFormat="1" applyFont="1" applyFill="1"/>
    <xf numFmtId="0" fontId="17" fillId="0" borderId="0" xfId="0" applyFont="1" applyFill="1"/>
    <xf numFmtId="4" fontId="24" fillId="0" borderId="1" xfId="0" applyNumberFormat="1" applyFont="1" applyFill="1" applyBorder="1" applyAlignment="1">
      <alignment vertical="center" wrapText="1"/>
    </xf>
    <xf numFmtId="4" fontId="26" fillId="0" borderId="1" xfId="0" applyNumberFormat="1" applyFont="1" applyFill="1" applyBorder="1" applyAlignment="1">
      <alignment vertical="center" wrapText="1"/>
    </xf>
    <xf numFmtId="4" fontId="0" fillId="0" borderId="0" xfId="0" applyNumberFormat="1" applyFill="1" applyAlignment="1">
      <alignment vertical="center"/>
    </xf>
    <xf numFmtId="0" fontId="17" fillId="0" borderId="0" xfId="0" applyFont="1" applyFill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 shrinkToFit="1"/>
    </xf>
    <xf numFmtId="0" fontId="23" fillId="0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</cellXfs>
  <cellStyles count="7">
    <cellStyle name="Dziesiętny 2" xfId="4" xr:uid="{00000000-0005-0000-0000-000000000000}"/>
    <cellStyle name="Normalny" xfId="0" builtinId="0"/>
    <cellStyle name="Normalny 2" xfId="3" xr:uid="{00000000-0005-0000-0000-000002000000}"/>
    <cellStyle name="Normalny 2 2" xfId="6" xr:uid="{00000000-0005-0000-0000-000003000000}"/>
    <cellStyle name="Normalny 3" xfId="1" xr:uid="{00000000-0005-0000-0000-000004000000}"/>
    <cellStyle name="Procentowy 2" xfId="2" xr:uid="{00000000-0005-0000-0000-000005000000}"/>
    <cellStyle name="Walutowy" xfId="5" builtinId="4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Z44"/>
  <sheetViews>
    <sheetView tabSelected="1" view="pageBreakPreview" zoomScale="90" zoomScaleNormal="100" zoomScaleSheetLayoutView="90" workbookViewId="0">
      <selection activeCell="K20" sqref="K20"/>
    </sheetView>
  </sheetViews>
  <sheetFormatPr defaultColWidth="9.28515625" defaultRowHeight="15" x14ac:dyDescent="0.25"/>
  <cols>
    <col min="1" max="1" width="35.28515625" style="14" customWidth="1"/>
    <col min="2" max="2" width="10.7109375" style="14" customWidth="1"/>
    <col min="3" max="5" width="20.7109375" style="14" customWidth="1"/>
    <col min="6" max="17" width="15.7109375" style="14" customWidth="1"/>
    <col min="18" max="18" width="9.28515625" style="14"/>
    <col min="19" max="19" width="11.7109375" style="14" bestFit="1" customWidth="1"/>
    <col min="20" max="16384" width="9.28515625" style="3"/>
  </cols>
  <sheetData>
    <row r="1" spans="1:26" s="10" customFormat="1" ht="30" customHeight="1" thickBot="1" x14ac:dyDescent="0.35">
      <c r="A1" s="7" t="s">
        <v>48</v>
      </c>
      <c r="B1" s="8"/>
      <c r="C1" s="8"/>
      <c r="D1" s="8"/>
      <c r="E1" s="8"/>
      <c r="F1" s="8"/>
      <c r="G1" s="8"/>
      <c r="H1" s="8"/>
      <c r="I1" s="8"/>
      <c r="J1" s="230" t="s">
        <v>278</v>
      </c>
      <c r="K1" s="8"/>
      <c r="L1" s="8"/>
      <c r="M1" s="8"/>
      <c r="N1" s="8"/>
      <c r="O1" s="8"/>
      <c r="P1" s="8"/>
      <c r="Q1" s="8"/>
      <c r="R1" s="8"/>
      <c r="S1" s="8"/>
      <c r="T1" s="9"/>
      <c r="U1" s="9"/>
      <c r="V1" s="9"/>
      <c r="W1" s="9"/>
      <c r="X1" s="9"/>
      <c r="Y1" s="9"/>
      <c r="Z1" s="9"/>
    </row>
    <row r="2" spans="1:26" x14ac:dyDescent="0.25">
      <c r="A2" s="11"/>
      <c r="B2" s="11"/>
      <c r="C2" s="11"/>
      <c r="D2" s="11"/>
      <c r="E2" s="11"/>
      <c r="F2" s="278" t="s">
        <v>18</v>
      </c>
      <c r="G2" s="279"/>
      <c r="H2" s="279"/>
      <c r="I2" s="279"/>
      <c r="J2" s="279"/>
      <c r="K2" s="279"/>
      <c r="L2" s="279"/>
      <c r="M2" s="279"/>
      <c r="N2" s="280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</row>
    <row r="3" spans="1:26" x14ac:dyDescent="0.25">
      <c r="A3" s="13"/>
      <c r="B3" s="11"/>
      <c r="C3" s="11"/>
      <c r="D3" s="11"/>
      <c r="E3" s="11"/>
      <c r="F3" s="281"/>
      <c r="G3" s="282"/>
      <c r="H3" s="282"/>
      <c r="I3" s="282"/>
      <c r="J3" s="282"/>
      <c r="K3" s="282"/>
      <c r="L3" s="282"/>
      <c r="M3" s="282"/>
      <c r="N3" s="283"/>
      <c r="Z3" s="12"/>
    </row>
    <row r="4" spans="1:26" x14ac:dyDescent="0.25">
      <c r="A4" s="15" t="s">
        <v>277</v>
      </c>
      <c r="B4" s="16"/>
      <c r="C4" s="16"/>
      <c r="D4" s="16"/>
      <c r="E4" s="16"/>
      <c r="F4" s="281"/>
      <c r="G4" s="282"/>
      <c r="H4" s="282"/>
      <c r="I4" s="282"/>
      <c r="J4" s="282"/>
      <c r="K4" s="282"/>
      <c r="L4" s="282"/>
      <c r="M4" s="282"/>
      <c r="N4" s="283"/>
      <c r="Z4" s="17"/>
    </row>
    <row r="5" spans="1:26" x14ac:dyDescent="0.25">
      <c r="A5" s="16"/>
      <c r="B5" s="16"/>
      <c r="C5" s="16"/>
      <c r="D5" s="16"/>
      <c r="E5" s="16"/>
      <c r="F5" s="281"/>
      <c r="G5" s="282"/>
      <c r="H5" s="282"/>
      <c r="I5" s="282"/>
      <c r="J5" s="282"/>
      <c r="K5" s="282"/>
      <c r="L5" s="282"/>
      <c r="M5" s="282"/>
      <c r="N5" s="283"/>
      <c r="Z5" s="12"/>
    </row>
    <row r="6" spans="1:26" x14ac:dyDescent="0.25">
      <c r="A6" s="15" t="s">
        <v>276</v>
      </c>
      <c r="B6" s="16"/>
      <c r="C6" s="16"/>
      <c r="D6" s="16"/>
      <c r="E6" s="16"/>
      <c r="F6" s="281"/>
      <c r="G6" s="282"/>
      <c r="H6" s="282"/>
      <c r="I6" s="282"/>
      <c r="J6" s="282"/>
      <c r="K6" s="282"/>
      <c r="L6" s="282"/>
      <c r="M6" s="282"/>
      <c r="N6" s="283"/>
      <c r="Z6" s="17"/>
    </row>
    <row r="7" spans="1:26" ht="15.75" thickBot="1" x14ac:dyDescent="0.3">
      <c r="A7" s="16"/>
      <c r="B7" s="16"/>
      <c r="C7" s="16"/>
      <c r="D7" s="16"/>
      <c r="E7" s="16"/>
      <c r="F7" s="284" t="s">
        <v>19</v>
      </c>
      <c r="G7" s="285"/>
      <c r="H7" s="285"/>
      <c r="I7" s="285"/>
      <c r="J7" s="285"/>
      <c r="K7" s="285"/>
      <c r="L7" s="285"/>
      <c r="M7" s="285"/>
      <c r="N7" s="286"/>
      <c r="Z7" s="12"/>
    </row>
    <row r="8" spans="1:26" x14ac:dyDescent="0.25">
      <c r="A8" s="16"/>
      <c r="B8" s="16"/>
      <c r="C8" s="16"/>
      <c r="D8" s="16"/>
      <c r="E8" s="16"/>
      <c r="F8" s="18"/>
      <c r="G8" s="18"/>
      <c r="H8" s="18"/>
      <c r="I8" s="18"/>
      <c r="J8" s="18"/>
      <c r="K8" s="18"/>
      <c r="L8" s="18"/>
      <c r="M8" s="18"/>
      <c r="N8" s="18"/>
      <c r="Z8" s="12"/>
    </row>
    <row r="9" spans="1:26" ht="20.100000000000001" customHeight="1" thickBot="1" x14ac:dyDescent="0.3">
      <c r="A9" s="15" t="s">
        <v>0</v>
      </c>
      <c r="B9" s="16"/>
      <c r="C9" s="16"/>
      <c r="D9" s="16"/>
      <c r="E9" s="16"/>
      <c r="F9" s="18"/>
      <c r="G9" s="18"/>
      <c r="H9" s="18"/>
      <c r="I9" s="18"/>
      <c r="J9" s="18"/>
      <c r="K9" s="18"/>
      <c r="L9" s="18"/>
      <c r="M9" s="18"/>
      <c r="N9" s="18"/>
      <c r="Z9" s="12"/>
    </row>
    <row r="10" spans="1:26" ht="20.100000000000001" customHeight="1" x14ac:dyDescent="0.25">
      <c r="A10" s="287" t="s">
        <v>1</v>
      </c>
      <c r="B10" s="289" t="s">
        <v>35</v>
      </c>
      <c r="C10" s="291" t="s">
        <v>20</v>
      </c>
      <c r="D10" s="293" t="s">
        <v>21</v>
      </c>
      <c r="E10" s="295" t="s">
        <v>22</v>
      </c>
      <c r="F10" s="102"/>
      <c r="G10" s="89"/>
      <c r="H10" s="90"/>
      <c r="I10" s="89"/>
      <c r="J10" s="90" t="s">
        <v>12</v>
      </c>
      <c r="K10" s="89"/>
      <c r="L10" s="89"/>
      <c r="M10" s="89"/>
      <c r="N10" s="90"/>
      <c r="O10" s="90"/>
      <c r="P10" s="90"/>
      <c r="Q10" s="91"/>
      <c r="R10" s="31"/>
      <c r="S10" s="31"/>
      <c r="T10" s="2"/>
      <c r="U10" s="2"/>
      <c r="V10" s="2"/>
      <c r="W10" s="2"/>
      <c r="Z10" s="12"/>
    </row>
    <row r="11" spans="1:26" s="1" customFormat="1" ht="20.100000000000001" customHeight="1" thickBot="1" x14ac:dyDescent="0.3">
      <c r="A11" s="288"/>
      <c r="B11" s="290"/>
      <c r="C11" s="292"/>
      <c r="D11" s="294"/>
      <c r="E11" s="296"/>
      <c r="F11" s="108">
        <v>2019</v>
      </c>
      <c r="G11" s="109">
        <v>2020</v>
      </c>
      <c r="H11" s="109">
        <v>2021</v>
      </c>
      <c r="I11" s="109">
        <v>2022</v>
      </c>
      <c r="J11" s="109">
        <v>2023</v>
      </c>
      <c r="K11" s="109">
        <v>2024</v>
      </c>
      <c r="L11" s="109">
        <v>2025</v>
      </c>
      <c r="M11" s="109">
        <v>2026</v>
      </c>
      <c r="N11" s="109">
        <v>2027</v>
      </c>
      <c r="O11" s="109">
        <v>2028</v>
      </c>
      <c r="P11" s="109">
        <v>2029</v>
      </c>
      <c r="Q11" s="110">
        <v>2030</v>
      </c>
      <c r="R11" s="18"/>
      <c r="S11" s="18"/>
      <c r="T11" s="18"/>
      <c r="U11" s="18"/>
      <c r="V11" s="18"/>
      <c r="W11" s="18"/>
      <c r="X11" s="19"/>
      <c r="Y11" s="19"/>
      <c r="Z11" s="19"/>
    </row>
    <row r="12" spans="1:26" ht="40.15" customHeight="1" thickTop="1" x14ac:dyDescent="0.25">
      <c r="A12" s="111" t="s">
        <v>37</v>
      </c>
      <c r="B12" s="112">
        <f>COUNTA('pow podst'!K3:K10)</f>
        <v>7</v>
      </c>
      <c r="C12" s="113">
        <f>SUM('pow podst'!J3:J10)</f>
        <v>19201012.469999999</v>
      </c>
      <c r="D12" s="114">
        <f>SUM('pow podst'!L3:L10)</f>
        <v>7891569.7499999991</v>
      </c>
      <c r="E12" s="115">
        <f>SUM('pow podst'!K3:K10)</f>
        <v>11309442.719999999</v>
      </c>
      <c r="F12" s="116">
        <f>SUM('pow podst'!N3:N10)</f>
        <v>0</v>
      </c>
      <c r="G12" s="113">
        <f>SUM('pow podst'!O3:O10)</f>
        <v>0</v>
      </c>
      <c r="H12" s="113">
        <f>SUM('pow podst'!P3:P10)</f>
        <v>0</v>
      </c>
      <c r="I12" s="113">
        <f>SUM('pow podst'!Q3:Q10)</f>
        <v>0</v>
      </c>
      <c r="J12" s="113">
        <f>SUM('pow podst'!R3:R10)</f>
        <v>0</v>
      </c>
      <c r="K12" s="113">
        <f>SUM('pow podst'!S3:S10)</f>
        <v>9875968.7400000002</v>
      </c>
      <c r="L12" s="113">
        <f>SUM('pow podst'!T3:T10)</f>
        <v>1433473.98</v>
      </c>
      <c r="M12" s="113">
        <f>SUM('pow podst'!U3:U10)</f>
        <v>0</v>
      </c>
      <c r="N12" s="113">
        <f>SUM('pow podst'!V3:V10)</f>
        <v>0</v>
      </c>
      <c r="O12" s="113">
        <f>SUM('pow podst'!W3:W10)</f>
        <v>0</v>
      </c>
      <c r="P12" s="113">
        <f>SUM('pow podst'!X3:X10)</f>
        <v>0</v>
      </c>
      <c r="Q12" s="117">
        <f>SUM('pow podst'!Y3:Y10)</f>
        <v>0</v>
      </c>
      <c r="R12" s="20" t="b">
        <f>C12=(D12+E12)</f>
        <v>1</v>
      </c>
      <c r="S12" s="42" t="b">
        <f>E12=SUM(F12:Q12)</f>
        <v>1</v>
      </c>
      <c r="T12" s="21"/>
      <c r="U12" s="21"/>
      <c r="V12" s="22"/>
      <c r="W12" s="22"/>
      <c r="X12" s="23"/>
      <c r="Y12" s="12"/>
      <c r="Z12" s="12"/>
    </row>
    <row r="13" spans="1:26" ht="40.15" customHeight="1" x14ac:dyDescent="0.25">
      <c r="A13" s="118" t="s">
        <v>38</v>
      </c>
      <c r="B13" s="161">
        <f>COUNTIF('pow podst'!C3:C10,"K")</f>
        <v>0</v>
      </c>
      <c r="C13" s="162">
        <f>SUMIF('pow podst'!C3:C10,"K",'pow podst'!J3:J10)</f>
        <v>0</v>
      </c>
      <c r="D13" s="163">
        <f>SUMIF('pow podst'!C3:C10,"K",'pow podst'!L3:L10)</f>
        <v>0</v>
      </c>
      <c r="E13" s="51">
        <f>SUMIF('pow podst'!C3:C10,"K",'pow podst'!K3:K10)</f>
        <v>0</v>
      </c>
      <c r="F13" s="170">
        <f>SUMIF('pow podst'!C3:C10,"K",'pow podst'!N3:N10)</f>
        <v>0</v>
      </c>
      <c r="G13" s="162">
        <f>SUMIF('pow podst'!C3:C10,"K",'pow podst'!O3:O10)</f>
        <v>0</v>
      </c>
      <c r="H13" s="162">
        <f>SUMIF('pow podst'!C3:C10,"K",'pow podst'!P3:P10)</f>
        <v>0</v>
      </c>
      <c r="I13" s="162">
        <f>SUMIF('pow podst'!C3:C10,"K",'pow podst'!Q3:Q10)</f>
        <v>0</v>
      </c>
      <c r="J13" s="162">
        <f>SUMIF('pow podst'!C3:C10,"K",'pow podst'!R3:R10)</f>
        <v>0</v>
      </c>
      <c r="K13" s="162">
        <f>SUMIF('pow podst'!C3:C10,"K",'pow podst'!S3:S10)</f>
        <v>0</v>
      </c>
      <c r="L13" s="162">
        <f>SUMIF('pow podst'!C3:C10,"K",'pow podst'!T3:T10)</f>
        <v>0</v>
      </c>
      <c r="M13" s="162">
        <f>SUMIF('pow podst'!C3:C10,"K",'pow podst'!U3:U10)</f>
        <v>0</v>
      </c>
      <c r="N13" s="162">
        <f>SUMIF('pow podst'!C3:C10,"K",'pow podst'!V3:V10)</f>
        <v>0</v>
      </c>
      <c r="O13" s="162">
        <f>SUMIF('pow podst'!C3:C10,"K",'pow podst'!W3:W10)</f>
        <v>0</v>
      </c>
      <c r="P13" s="162">
        <f>SUMIF('pow podst'!D3:D10,"K",'pow podst'!X3:X10)</f>
        <v>0</v>
      </c>
      <c r="Q13" s="171">
        <f>SUMIF('pow podst'!E3:E10,"K",'pow podst'!Y3:Y10)</f>
        <v>0</v>
      </c>
      <c r="R13" s="20" t="b">
        <f t="shared" ref="R13:R36" si="0">C13=(D13+E13)</f>
        <v>1</v>
      </c>
      <c r="S13" s="42" t="b">
        <f t="shared" ref="S13:S36" si="1">E13=SUM(F13:Q13)</f>
        <v>1</v>
      </c>
      <c r="T13" s="21"/>
      <c r="U13" s="21"/>
      <c r="V13" s="22"/>
      <c r="W13" s="22"/>
      <c r="X13" s="23"/>
      <c r="Y13" s="12"/>
      <c r="Z13" s="12"/>
    </row>
    <row r="14" spans="1:26" ht="40.15" customHeight="1" x14ac:dyDescent="0.25">
      <c r="A14" s="119" t="s">
        <v>39</v>
      </c>
      <c r="B14" s="164">
        <f>COUNTIF('pow podst'!C3:C10,"N")</f>
        <v>6</v>
      </c>
      <c r="C14" s="165">
        <f>SUMIF('pow podst'!C3:C10,"N",'pow podst'!J3:J10)</f>
        <v>16331194.689999999</v>
      </c>
      <c r="D14" s="166">
        <f>SUMIF('pow podst'!C3:C10,"N",'pow podst'!L3:L10)</f>
        <v>7317606.1899999995</v>
      </c>
      <c r="E14" s="50">
        <f>SUMIF('pow podst'!C3:C10,"N",'pow podst'!K3:K10)</f>
        <v>9013588.5</v>
      </c>
      <c r="F14" s="172">
        <f>SUMIF('pow podst'!C3:C10,"N",'pow podst'!N3:N10)</f>
        <v>0</v>
      </c>
      <c r="G14" s="165">
        <f>SUMIF('pow podst'!C3:C10,"N",'pow podst'!O3:O10)</f>
        <v>0</v>
      </c>
      <c r="H14" s="165">
        <f>SUMIF('pow podst'!C3:C10,"N",'pow podst'!P3:P10)</f>
        <v>0</v>
      </c>
      <c r="I14" s="165">
        <f>SUMIF('pow podst'!C3:C10,"N",'pow podst'!Q3:Q10)</f>
        <v>0</v>
      </c>
      <c r="J14" s="165">
        <f>SUMIF('pow podst'!C3:C10,"N",'pow podst'!R3:R10)</f>
        <v>0</v>
      </c>
      <c r="K14" s="165">
        <f>SUMIF('pow podst'!C3:C10,"N",'pow podst'!S3:S10)</f>
        <v>9013588.5</v>
      </c>
      <c r="L14" s="165">
        <f>SUMIF('pow podst'!C3:C10,"N",'pow podst'!T3:T10)</f>
        <v>0</v>
      </c>
      <c r="M14" s="165">
        <f>SUMIF('pow podst'!C3:C10,"N",'pow podst'!U3:U10)</f>
        <v>0</v>
      </c>
      <c r="N14" s="165">
        <f>SUMIF('pow podst'!C3:C10,"N",'pow podst'!V3:V10)</f>
        <v>0</v>
      </c>
      <c r="O14" s="165">
        <f>SUMIF('pow podst'!C3:C10,"N",'pow podst'!W3:W10)</f>
        <v>0</v>
      </c>
      <c r="P14" s="165">
        <f>SUMIF('pow podst'!D3:D10,"N",'pow podst'!X3:X10)</f>
        <v>0</v>
      </c>
      <c r="Q14" s="173">
        <f>SUMIF('pow podst'!E3:E10,"N",'pow podst'!Y3:Y10)</f>
        <v>0</v>
      </c>
      <c r="R14" s="20" t="b">
        <f t="shared" si="0"/>
        <v>1</v>
      </c>
      <c r="S14" s="42" t="b">
        <f t="shared" si="1"/>
        <v>1</v>
      </c>
      <c r="T14" s="21"/>
      <c r="U14" s="21"/>
      <c r="V14" s="22"/>
      <c r="W14" s="22"/>
      <c r="X14" s="23"/>
      <c r="Y14" s="12"/>
      <c r="Z14" s="12"/>
    </row>
    <row r="15" spans="1:26" ht="40.15" customHeight="1" thickBot="1" x14ac:dyDescent="0.3">
      <c r="A15" s="120" t="s">
        <v>40</v>
      </c>
      <c r="B15" s="167">
        <f>COUNTIF('pow podst'!C3:C10,"W")</f>
        <v>1</v>
      </c>
      <c r="C15" s="168">
        <f>SUMIF('pow podst'!C3:C10,"W",'pow podst'!J3:J10)</f>
        <v>2869817.78</v>
      </c>
      <c r="D15" s="169">
        <f>SUMIF('pow podst'!C3:C10,"W",'pow podst'!L3:L10)</f>
        <v>573963.55999999959</v>
      </c>
      <c r="E15" s="121">
        <f>SUMIF('pow podst'!C3:C10,"W",'pow podst'!K3:K10)</f>
        <v>2295854.2200000002</v>
      </c>
      <c r="F15" s="174">
        <f>SUMIF('pow podst'!C3:C10,"W",'pow podst'!N3:N10)</f>
        <v>0</v>
      </c>
      <c r="G15" s="168">
        <f>SUMIF('pow podst'!C3:C10,"W",'pow podst'!O3:O10)</f>
        <v>0</v>
      </c>
      <c r="H15" s="168">
        <f>SUMIF('pow podst'!C3:C10,"W",'pow podst'!P3:P10)</f>
        <v>0</v>
      </c>
      <c r="I15" s="168">
        <f>SUMIF('pow podst'!C3:C10,"W",'pow podst'!Q3:Q10)</f>
        <v>0</v>
      </c>
      <c r="J15" s="168">
        <f>SUMIF('pow podst'!C3:C10,"W",'pow podst'!R3:R10)</f>
        <v>0</v>
      </c>
      <c r="K15" s="168">
        <f>SUMIF('pow podst'!C3:C10,"W",'pow podst'!S3:S10)</f>
        <v>862380.24</v>
      </c>
      <c r="L15" s="168">
        <f>SUMIF('pow podst'!C3:C10,"W",'pow podst'!T3:T10)</f>
        <v>1433473.98</v>
      </c>
      <c r="M15" s="168">
        <f>SUMIF('pow podst'!C3:C10,"W",'pow podst'!U3:U10)</f>
        <v>0</v>
      </c>
      <c r="N15" s="168">
        <f>SUMIF('pow podst'!C3:C10,"W",'pow podst'!V3:V10)</f>
        <v>0</v>
      </c>
      <c r="O15" s="168">
        <f>SUMIF('pow podst'!C3:C10,"W",'pow podst'!W3:W10)</f>
        <v>0</v>
      </c>
      <c r="P15" s="168">
        <f>SUMIF('pow podst'!D3:D10,"W",'pow podst'!X3:X10)</f>
        <v>0</v>
      </c>
      <c r="Q15" s="175">
        <f>SUMIF('pow podst'!E3:E10,"W",'pow podst'!Y3:Y10)</f>
        <v>0</v>
      </c>
      <c r="R15" s="20" t="b">
        <f t="shared" si="0"/>
        <v>1</v>
      </c>
      <c r="S15" s="42" t="b">
        <f t="shared" si="1"/>
        <v>1</v>
      </c>
      <c r="T15" s="21"/>
      <c r="U15" s="21"/>
      <c r="V15" s="22"/>
      <c r="W15" s="22"/>
      <c r="X15" s="23"/>
      <c r="Y15" s="12"/>
      <c r="Z15" s="12"/>
    </row>
    <row r="16" spans="1:26" ht="40.15" customHeight="1" thickTop="1" x14ac:dyDescent="0.25">
      <c r="A16" s="111" t="s">
        <v>41</v>
      </c>
      <c r="B16" s="112">
        <f>COUNTA('gm podst'!L3:L61)</f>
        <v>57</v>
      </c>
      <c r="C16" s="113">
        <f>SUM('gm podst'!K3:K61)</f>
        <v>172475524.43999997</v>
      </c>
      <c r="D16" s="114">
        <f>SUM('gm podst'!M3:M61)</f>
        <v>58687462.95000004</v>
      </c>
      <c r="E16" s="115">
        <f>SUM('gm podst'!L3:L61)</f>
        <v>113788061.48999995</v>
      </c>
      <c r="F16" s="176">
        <f>SUM('gm podst'!O3:O61)</f>
        <v>0</v>
      </c>
      <c r="G16" s="177">
        <f>SUM('gm podst'!P3:P61)</f>
        <v>0</v>
      </c>
      <c r="H16" s="177">
        <f>SUM('gm podst'!Q3:Q61)</f>
        <v>0</v>
      </c>
      <c r="I16" s="177">
        <f>SUM('gm podst'!R3:R61)</f>
        <v>0</v>
      </c>
      <c r="J16" s="177">
        <f>SUM('gm podst'!S3:S61)</f>
        <v>10835376.120000001</v>
      </c>
      <c r="K16" s="177">
        <f>SUM('gm podst'!T3:T61)</f>
        <v>88897266.149999991</v>
      </c>
      <c r="L16" s="177">
        <f>SUM('gm podst'!U3:U61)</f>
        <v>12068068.459999999</v>
      </c>
      <c r="M16" s="177">
        <f>SUM('gm podst'!V3:V61)</f>
        <v>1987350.7600000007</v>
      </c>
      <c r="N16" s="177">
        <f>SUM('gm podst'!W3:W61)</f>
        <v>0</v>
      </c>
      <c r="O16" s="177">
        <f>SUM('gm podst'!X3:X61)</f>
        <v>0</v>
      </c>
      <c r="P16" s="177">
        <f>SUM('gm podst'!Y3:Y61)</f>
        <v>0</v>
      </c>
      <c r="Q16" s="178">
        <f>SUM('gm podst'!Z3:Z61)</f>
        <v>0</v>
      </c>
      <c r="R16" s="20" t="b">
        <f t="shared" si="0"/>
        <v>1</v>
      </c>
      <c r="S16" s="42" t="b">
        <f t="shared" si="1"/>
        <v>1</v>
      </c>
      <c r="T16" s="21"/>
      <c r="U16" s="21"/>
      <c r="V16" s="22"/>
      <c r="W16" s="22"/>
      <c r="X16" s="22"/>
      <c r="Y16" s="22"/>
      <c r="Z16" s="22"/>
    </row>
    <row r="17" spans="1:26" ht="40.15" customHeight="1" x14ac:dyDescent="0.25">
      <c r="A17" s="118" t="s">
        <v>38</v>
      </c>
      <c r="B17" s="161">
        <f>COUNTIF('gm podst'!C3:C61,"K")</f>
        <v>8</v>
      </c>
      <c r="C17" s="162">
        <f>SUMIF('gm podst'!C3:C61,"K",'gm podst'!K3:K61)</f>
        <v>32087163.750000004</v>
      </c>
      <c r="D17" s="163">
        <f>SUMIF('gm podst'!C3:C61,"K",'gm podst'!M3:M61)</f>
        <v>10621461.620000001</v>
      </c>
      <c r="E17" s="51">
        <f>SUMIF('gm podst'!C3:C61,"K",'gm podst'!L3:L61)</f>
        <v>21465702.130000003</v>
      </c>
      <c r="F17" s="170">
        <f>SUMIF('gm podst'!C3:C61,"K",'gm podst'!O3:O61)</f>
        <v>0</v>
      </c>
      <c r="G17" s="162">
        <f>SUMIF('gm podst'!C3:C61,"K",'gm podst'!P3:P61)</f>
        <v>0</v>
      </c>
      <c r="H17" s="162">
        <f>SUMIF('gm podst'!C3:C61,"K",'gm podst'!Q3:Q61)</f>
        <v>0</v>
      </c>
      <c r="I17" s="162">
        <f>SUMIF('gm podst'!C3:C61,"K",'gm podst'!R3:R61)</f>
        <v>0</v>
      </c>
      <c r="J17" s="162">
        <f>SUMIF('gm podst'!C3:C61,"K",'gm podst'!S3:S61)</f>
        <v>10835376.120000001</v>
      </c>
      <c r="K17" s="162">
        <f>SUMIF('gm podst'!C3:C61,"K",'gm podst'!T3:T61)</f>
        <v>10630326.010000002</v>
      </c>
      <c r="L17" s="162">
        <f>SUMIF('gm podst'!C3:C61,"K",'gm podst'!U3:U61)</f>
        <v>0</v>
      </c>
      <c r="M17" s="162">
        <f>SUMIF('gm podst'!C3:C61,"K",'gm podst'!V3:V61)</f>
        <v>0</v>
      </c>
      <c r="N17" s="162">
        <f>SUMIF('gm podst'!C3:C61,"K",'gm podst'!W3:W61)</f>
        <v>0</v>
      </c>
      <c r="O17" s="162">
        <f>SUMIF('gm podst'!C3:C61,"K",'gm podst'!X3:X61)</f>
        <v>0</v>
      </c>
      <c r="P17" s="162">
        <f>SUMIF('gm podst'!D3:D61,"K",'gm podst'!Y3:Y61)</f>
        <v>0</v>
      </c>
      <c r="Q17" s="171">
        <f>SUMIF('gm podst'!E3:E61,"K",'gm podst'!Z3:Z61)</f>
        <v>0</v>
      </c>
      <c r="R17" s="20" t="b">
        <f t="shared" si="0"/>
        <v>1</v>
      </c>
      <c r="S17" s="42" t="b">
        <f t="shared" si="1"/>
        <v>1</v>
      </c>
      <c r="T17" s="21"/>
      <c r="U17" s="21"/>
      <c r="V17" s="22"/>
      <c r="W17" s="22"/>
      <c r="X17" s="22"/>
      <c r="Y17" s="22"/>
      <c r="Z17" s="22"/>
    </row>
    <row r="18" spans="1:26" ht="40.15" customHeight="1" x14ac:dyDescent="0.25">
      <c r="A18" s="119" t="s">
        <v>39</v>
      </c>
      <c r="B18" s="164">
        <f>COUNTIF('gm podst'!C3:C61,"N")</f>
        <v>40</v>
      </c>
      <c r="C18" s="165">
        <f>SUMIF('gm podst'!C3:C61,"N",'gm podst'!K3:K61)</f>
        <v>101781860.66</v>
      </c>
      <c r="D18" s="166">
        <f>SUMIF('gm podst'!C3:C61,"N",'gm podst'!M3:M61)</f>
        <v>37748879.300000034</v>
      </c>
      <c r="E18" s="50">
        <f>SUMIF('gm podst'!C3:C61,"N",'gm podst'!L3:L61)</f>
        <v>64032981.359999992</v>
      </c>
      <c r="F18" s="172">
        <f>SUMIF('gm podst'!C3:C61,"N",'gm podst'!O3:O61)</f>
        <v>0</v>
      </c>
      <c r="G18" s="165">
        <f>SUMIF('gm podst'!C3:C61,"N",'gm podst'!P3:P61)</f>
        <v>0</v>
      </c>
      <c r="H18" s="165">
        <f>SUMIF('gm podst'!C3:C61,"N",'gm podst'!Q3:Q61)</f>
        <v>0</v>
      </c>
      <c r="I18" s="165">
        <f>SUMIF('gm podst'!C3:C61,"N",'gm podst'!R3:R61)</f>
        <v>0</v>
      </c>
      <c r="J18" s="165">
        <f>SUMIF('gm podst'!C3:C61,"N",'gm podst'!S3:S61)</f>
        <v>0</v>
      </c>
      <c r="K18" s="165">
        <f>SUMIF('gm podst'!C3:C61,"N",'gm podst'!T3:T61)</f>
        <v>64032981.359999992</v>
      </c>
      <c r="L18" s="165">
        <f>SUMIF('gm podst'!C3:C61,"N",'gm podst'!U3:U61)</f>
        <v>0</v>
      </c>
      <c r="M18" s="165">
        <f>SUMIF('gm podst'!C3:C61,"N",'gm podst'!V3:V61)</f>
        <v>0</v>
      </c>
      <c r="N18" s="165">
        <f>SUMIF('gm podst'!C3:C61,"N",'gm podst'!W3:W61)</f>
        <v>0</v>
      </c>
      <c r="O18" s="165">
        <f>SUMIF('gm podst'!C3:C61,"N",'gm podst'!X3:X61)</f>
        <v>0</v>
      </c>
      <c r="P18" s="165">
        <f>SUMIF('gm podst'!D3:D61,"N",'gm podst'!Y3:Y61)</f>
        <v>0</v>
      </c>
      <c r="Q18" s="173">
        <f>SUMIF('gm podst'!E3:E61,"N",'gm podst'!Z3:Z61)</f>
        <v>0</v>
      </c>
      <c r="R18" s="20" t="b">
        <f t="shared" si="0"/>
        <v>1</v>
      </c>
      <c r="S18" s="42" t="b">
        <f t="shared" si="1"/>
        <v>1</v>
      </c>
      <c r="T18" s="21"/>
      <c r="U18" s="21"/>
      <c r="V18" s="22"/>
      <c r="W18" s="22"/>
      <c r="X18" s="22"/>
      <c r="Y18" s="22"/>
      <c r="Z18" s="22"/>
    </row>
    <row r="19" spans="1:26" ht="40.15" customHeight="1" thickBot="1" x14ac:dyDescent="0.3">
      <c r="A19" s="120" t="s">
        <v>40</v>
      </c>
      <c r="B19" s="167">
        <f>COUNTIF('gm podst'!C3:C61,"W")</f>
        <v>9</v>
      </c>
      <c r="C19" s="168">
        <f>SUMIF('gm podst'!C3:C61,"W",'gm podst'!K3:K61)</f>
        <v>38606500.030000009</v>
      </c>
      <c r="D19" s="169">
        <f>SUMIF('gm podst'!C3:C61,"W",'gm podst'!M3:M61)</f>
        <v>10317122.029999997</v>
      </c>
      <c r="E19" s="121">
        <f>SUMIF('gm podst'!C3:C61,"W",'gm podst'!L3:L61)</f>
        <v>28289378</v>
      </c>
      <c r="F19" s="174">
        <f>SUMIF('gm podst'!C3:C61,"W",'gm podst'!O3:O61)</f>
        <v>0</v>
      </c>
      <c r="G19" s="168">
        <f>SUMIF('gm podst'!C3:C61,"W",'gm podst'!P3:P61)</f>
        <v>0</v>
      </c>
      <c r="H19" s="168">
        <f>SUMIF('gm podst'!C3:C61,"W",'gm podst'!Q3:Q61)</f>
        <v>0</v>
      </c>
      <c r="I19" s="168">
        <f>SUMIF('gm podst'!C3:C61,"W",'gm podst'!R3:R61)</f>
        <v>0</v>
      </c>
      <c r="J19" s="168">
        <f>SUMIF('gm podst'!C3:C61,"W",'gm podst'!S3:S61)</f>
        <v>0</v>
      </c>
      <c r="K19" s="168">
        <f>SUMIF('gm podst'!C3:C61,"W",'gm podst'!T3:T61)</f>
        <v>14233958.779999999</v>
      </c>
      <c r="L19" s="168">
        <f>SUMIF('gm podst'!C3:C61,"W",'gm podst'!U3:U61)</f>
        <v>12068068.459999999</v>
      </c>
      <c r="M19" s="168">
        <f>SUMIF('gm podst'!C3:C61,"W",'gm podst'!V3:V61)</f>
        <v>1987350.7600000007</v>
      </c>
      <c r="N19" s="168">
        <f>SUMIF('gm podst'!C3:C61,"W",'gm podst'!W3:W61)</f>
        <v>0</v>
      </c>
      <c r="O19" s="168">
        <f>SUMIF('gm podst'!C3:C61,"W",'gm podst'!X3:X61)</f>
        <v>0</v>
      </c>
      <c r="P19" s="168">
        <f>SUMIF('gm podst'!D3:D61,"W",'gm podst'!Y3:Y61)</f>
        <v>0</v>
      </c>
      <c r="Q19" s="175">
        <f>SUMIF('gm podst'!E3:E61,"W",'gm podst'!Z3:Z61)</f>
        <v>0</v>
      </c>
      <c r="R19" s="20" t="b">
        <f t="shared" si="0"/>
        <v>1</v>
      </c>
      <c r="S19" s="42" t="b">
        <f t="shared" si="1"/>
        <v>1</v>
      </c>
      <c r="T19" s="21"/>
      <c r="U19" s="21"/>
      <c r="V19" s="22"/>
      <c r="W19" s="22"/>
      <c r="X19" s="22"/>
      <c r="Y19" s="22"/>
      <c r="Z19" s="22"/>
    </row>
    <row r="20" spans="1:26" s="26" customFormat="1" ht="40.15" customHeight="1" thickTop="1" x14ac:dyDescent="0.25">
      <c r="A20" s="122" t="s">
        <v>42</v>
      </c>
      <c r="B20" s="123">
        <f>B12+B16</f>
        <v>64</v>
      </c>
      <c r="C20" s="124">
        <f>C12+C16</f>
        <v>191676536.90999997</v>
      </c>
      <c r="D20" s="125">
        <f t="shared" ref="C20:O22" si="2">D12+D16</f>
        <v>66579032.70000004</v>
      </c>
      <c r="E20" s="126">
        <f t="shared" si="2"/>
        <v>125097504.20999995</v>
      </c>
      <c r="F20" s="127">
        <f t="shared" si="2"/>
        <v>0</v>
      </c>
      <c r="G20" s="124">
        <f t="shared" si="2"/>
        <v>0</v>
      </c>
      <c r="H20" s="124">
        <f t="shared" si="2"/>
        <v>0</v>
      </c>
      <c r="I20" s="124">
        <f t="shared" si="2"/>
        <v>0</v>
      </c>
      <c r="J20" s="124">
        <f t="shared" si="2"/>
        <v>10835376.120000001</v>
      </c>
      <c r="K20" s="124">
        <f>K12+K16</f>
        <v>98773234.889999986</v>
      </c>
      <c r="L20" s="124">
        <f t="shared" si="2"/>
        <v>13501542.439999999</v>
      </c>
      <c r="M20" s="124">
        <f t="shared" si="2"/>
        <v>1987350.7600000007</v>
      </c>
      <c r="N20" s="124">
        <f t="shared" si="2"/>
        <v>0</v>
      </c>
      <c r="O20" s="124">
        <f t="shared" si="2"/>
        <v>0</v>
      </c>
      <c r="P20" s="124">
        <f t="shared" ref="P20:Q20" si="3">P12+P16</f>
        <v>0</v>
      </c>
      <c r="Q20" s="128">
        <f t="shared" si="3"/>
        <v>0</v>
      </c>
      <c r="R20" s="20" t="b">
        <f t="shared" si="0"/>
        <v>1</v>
      </c>
      <c r="S20" s="42" t="b">
        <f t="shared" si="1"/>
        <v>1</v>
      </c>
      <c r="T20" s="24"/>
      <c r="U20" s="24"/>
      <c r="V20" s="25"/>
      <c r="W20" s="25"/>
      <c r="X20" s="25"/>
      <c r="Y20" s="25"/>
      <c r="Z20" s="25"/>
    </row>
    <row r="21" spans="1:26" s="26" customFormat="1" ht="40.15" customHeight="1" x14ac:dyDescent="0.25">
      <c r="A21" s="129" t="s">
        <v>38</v>
      </c>
      <c r="B21" s="93">
        <f>B13+B17</f>
        <v>8</v>
      </c>
      <c r="C21" s="85">
        <f t="shared" si="2"/>
        <v>32087163.750000004</v>
      </c>
      <c r="D21" s="98">
        <f t="shared" si="2"/>
        <v>10621461.620000001</v>
      </c>
      <c r="E21" s="51">
        <f t="shared" si="2"/>
        <v>21465702.130000003</v>
      </c>
      <c r="F21" s="103">
        <f t="shared" si="2"/>
        <v>0</v>
      </c>
      <c r="G21" s="85">
        <f t="shared" si="2"/>
        <v>0</v>
      </c>
      <c r="H21" s="85">
        <f t="shared" si="2"/>
        <v>0</v>
      </c>
      <c r="I21" s="85">
        <f t="shared" si="2"/>
        <v>0</v>
      </c>
      <c r="J21" s="85">
        <f t="shared" si="2"/>
        <v>10835376.120000001</v>
      </c>
      <c r="K21" s="85">
        <f t="shared" si="2"/>
        <v>10630326.010000002</v>
      </c>
      <c r="L21" s="85">
        <f t="shared" si="2"/>
        <v>0</v>
      </c>
      <c r="M21" s="85">
        <f t="shared" si="2"/>
        <v>0</v>
      </c>
      <c r="N21" s="85">
        <f t="shared" si="2"/>
        <v>0</v>
      </c>
      <c r="O21" s="85">
        <f t="shared" si="2"/>
        <v>0</v>
      </c>
      <c r="P21" s="85">
        <f t="shared" ref="P21:Q21" si="4">P13+P17</f>
        <v>0</v>
      </c>
      <c r="Q21" s="130">
        <f t="shared" si="4"/>
        <v>0</v>
      </c>
      <c r="R21" s="20" t="b">
        <f t="shared" si="0"/>
        <v>1</v>
      </c>
      <c r="S21" s="42" t="b">
        <f>E21=SUM(F21:Q21)</f>
        <v>1</v>
      </c>
      <c r="T21" s="24"/>
      <c r="U21" s="24"/>
      <c r="V21" s="25"/>
      <c r="W21" s="25"/>
      <c r="X21" s="25"/>
      <c r="Y21" s="25"/>
      <c r="Z21" s="25"/>
    </row>
    <row r="22" spans="1:26" s="26" customFormat="1" ht="40.15" customHeight="1" x14ac:dyDescent="0.25">
      <c r="A22" s="131" t="s">
        <v>39</v>
      </c>
      <c r="B22" s="94">
        <f>B14+B18</f>
        <v>46</v>
      </c>
      <c r="C22" s="88">
        <f t="shared" si="2"/>
        <v>118113055.34999999</v>
      </c>
      <c r="D22" s="99">
        <f t="shared" si="2"/>
        <v>45066485.490000032</v>
      </c>
      <c r="E22" s="50">
        <f t="shared" si="2"/>
        <v>73046569.859999985</v>
      </c>
      <c r="F22" s="104">
        <f t="shared" si="2"/>
        <v>0</v>
      </c>
      <c r="G22" s="88">
        <f t="shared" si="2"/>
        <v>0</v>
      </c>
      <c r="H22" s="88">
        <f t="shared" si="2"/>
        <v>0</v>
      </c>
      <c r="I22" s="88">
        <f t="shared" si="2"/>
        <v>0</v>
      </c>
      <c r="J22" s="88">
        <f t="shared" si="2"/>
        <v>0</v>
      </c>
      <c r="K22" s="88">
        <f t="shared" si="2"/>
        <v>73046569.859999985</v>
      </c>
      <c r="L22" s="88">
        <f t="shared" si="2"/>
        <v>0</v>
      </c>
      <c r="M22" s="88">
        <f t="shared" si="2"/>
        <v>0</v>
      </c>
      <c r="N22" s="88">
        <f t="shared" si="2"/>
        <v>0</v>
      </c>
      <c r="O22" s="88">
        <f t="shared" si="2"/>
        <v>0</v>
      </c>
      <c r="P22" s="88">
        <f t="shared" ref="P22:Q22" si="5">P14+P18</f>
        <v>0</v>
      </c>
      <c r="Q22" s="132">
        <f t="shared" si="5"/>
        <v>0</v>
      </c>
      <c r="R22" s="20" t="b">
        <f t="shared" si="0"/>
        <v>1</v>
      </c>
      <c r="S22" s="42" t="b">
        <f t="shared" si="1"/>
        <v>1</v>
      </c>
      <c r="T22" s="24"/>
      <c r="U22" s="24"/>
      <c r="V22" s="25"/>
      <c r="W22" s="25"/>
      <c r="X22" s="25"/>
      <c r="Y22" s="25"/>
      <c r="Z22" s="25"/>
    </row>
    <row r="23" spans="1:26" s="26" customFormat="1" ht="40.15" customHeight="1" thickBot="1" x14ac:dyDescent="0.3">
      <c r="A23" s="133" t="s">
        <v>40</v>
      </c>
      <c r="B23" s="134">
        <f>B15+B19</f>
        <v>10</v>
      </c>
      <c r="C23" s="135">
        <f t="shared" ref="C23:O23" si="6">C15+C19</f>
        <v>41476317.81000001</v>
      </c>
      <c r="D23" s="136">
        <f t="shared" si="6"/>
        <v>10891085.589999996</v>
      </c>
      <c r="E23" s="121">
        <f t="shared" si="6"/>
        <v>30585232.219999999</v>
      </c>
      <c r="F23" s="137">
        <f t="shared" si="6"/>
        <v>0</v>
      </c>
      <c r="G23" s="135">
        <f t="shared" si="6"/>
        <v>0</v>
      </c>
      <c r="H23" s="135">
        <f t="shared" si="6"/>
        <v>0</v>
      </c>
      <c r="I23" s="135">
        <f t="shared" si="6"/>
        <v>0</v>
      </c>
      <c r="J23" s="135">
        <f t="shared" si="6"/>
        <v>0</v>
      </c>
      <c r="K23" s="135">
        <f t="shared" si="6"/>
        <v>15096339.02</v>
      </c>
      <c r="L23" s="135">
        <f t="shared" si="6"/>
        <v>13501542.439999999</v>
      </c>
      <c r="M23" s="135">
        <f t="shared" si="6"/>
        <v>1987350.7600000007</v>
      </c>
      <c r="N23" s="135">
        <f t="shared" si="6"/>
        <v>0</v>
      </c>
      <c r="O23" s="135">
        <f t="shared" si="6"/>
        <v>0</v>
      </c>
      <c r="P23" s="135">
        <f t="shared" ref="P23:Q23" si="7">P15+P19</f>
        <v>0</v>
      </c>
      <c r="Q23" s="138">
        <f t="shared" si="7"/>
        <v>0</v>
      </c>
      <c r="R23" s="20" t="b">
        <f t="shared" si="0"/>
        <v>1</v>
      </c>
      <c r="S23" s="42" t="b">
        <f t="shared" si="1"/>
        <v>1</v>
      </c>
      <c r="T23" s="24"/>
      <c r="U23" s="24"/>
      <c r="V23" s="25"/>
      <c r="W23" s="25"/>
      <c r="X23" s="25"/>
      <c r="Y23" s="25"/>
      <c r="Z23" s="25"/>
    </row>
    <row r="24" spans="1:26" ht="40.15" customHeight="1" thickTop="1" x14ac:dyDescent="0.25">
      <c r="A24" s="111" t="s">
        <v>2</v>
      </c>
      <c r="B24" s="112">
        <f>COUNTA('pow rez'!K3:K5)</f>
        <v>0</v>
      </c>
      <c r="C24" s="113">
        <f>SUM('pow rez'!J3:J5)</f>
        <v>0</v>
      </c>
      <c r="D24" s="114">
        <f>SUM('pow rez'!L3:L5)</f>
        <v>0</v>
      </c>
      <c r="E24" s="115">
        <f>SUM('pow rez'!K3:K5)</f>
        <v>0</v>
      </c>
      <c r="F24" s="116">
        <f>SUM('pow rez'!N3:N5)</f>
        <v>0</v>
      </c>
      <c r="G24" s="113">
        <f>SUM('pow rez'!O3:O5)</f>
        <v>0</v>
      </c>
      <c r="H24" s="113">
        <f>SUM('pow rez'!P3:P5)</f>
        <v>0</v>
      </c>
      <c r="I24" s="113">
        <f>SUM('pow rez'!Q3:Q5)</f>
        <v>0</v>
      </c>
      <c r="J24" s="113">
        <f>SUM('pow rez'!R3:R5)</f>
        <v>0</v>
      </c>
      <c r="K24" s="113">
        <f>SUM('pow rez'!S3:S5)</f>
        <v>0</v>
      </c>
      <c r="L24" s="113">
        <f>SUM('pow rez'!T3:T5)</f>
        <v>0</v>
      </c>
      <c r="M24" s="113">
        <f>SUM('pow rez'!U3:U5)</f>
        <v>0</v>
      </c>
      <c r="N24" s="113">
        <f>SUM('pow rez'!V3:V5)</f>
        <v>0</v>
      </c>
      <c r="O24" s="113">
        <f>SUM('pow rez'!W3:W5)</f>
        <v>0</v>
      </c>
      <c r="P24" s="113">
        <f>SUM('pow rez'!X3:X5)</f>
        <v>0</v>
      </c>
      <c r="Q24" s="117">
        <f>SUM('pow rez'!Y3:Y5)</f>
        <v>0</v>
      </c>
      <c r="R24" s="20" t="b">
        <f t="shared" si="0"/>
        <v>1</v>
      </c>
      <c r="S24" s="42" t="b">
        <f t="shared" si="1"/>
        <v>1</v>
      </c>
      <c r="T24" s="21"/>
      <c r="U24" s="21"/>
      <c r="V24" s="22"/>
      <c r="W24" s="22"/>
      <c r="X24" s="22"/>
      <c r="Y24" s="22"/>
      <c r="Z24" s="22"/>
    </row>
    <row r="25" spans="1:26" ht="40.15" customHeight="1" x14ac:dyDescent="0.25">
      <c r="A25" s="119" t="s">
        <v>39</v>
      </c>
      <c r="B25" s="164">
        <f>COUNTIF('pow rez'!C3:C5,"N")</f>
        <v>0</v>
      </c>
      <c r="C25" s="165">
        <f>SUMIF('pow rez'!C3:C5,"N",'pow rez'!J3:J5)</f>
        <v>0</v>
      </c>
      <c r="D25" s="166">
        <f>SUMIF('pow rez'!C3:C5,"N",'pow rez'!L3:L5)</f>
        <v>0</v>
      </c>
      <c r="E25" s="50">
        <f>SUMIF('pow rez'!C3:C5,"N",'pow rez'!K3:K5)</f>
        <v>0</v>
      </c>
      <c r="F25" s="172">
        <f>SUMIF('pow rez'!C3:C5,"N",'pow rez'!N3:N5)</f>
        <v>0</v>
      </c>
      <c r="G25" s="165">
        <f>SUMIF('pow rez'!C3:C5,"N",'pow rez'!O3:O5)</f>
        <v>0</v>
      </c>
      <c r="H25" s="165">
        <f>SUMIF('pow rez'!C3:C5,"N",'pow rez'!P3:P5)</f>
        <v>0</v>
      </c>
      <c r="I25" s="165">
        <f>SUMIF('pow rez'!C3:C5,"N",'pow rez'!Q3:Q5)</f>
        <v>0</v>
      </c>
      <c r="J25" s="165">
        <f>SUMIF('pow rez'!C3:C5,"N",'pow rez'!R3:R5)</f>
        <v>0</v>
      </c>
      <c r="K25" s="165">
        <f>SUMIF('pow rez'!C3:C5,"N",'pow rez'!S3:S5)</f>
        <v>0</v>
      </c>
      <c r="L25" s="165">
        <f>SUMIF('pow rez'!C3:C5,"N",'pow rez'!T3:T5)</f>
        <v>0</v>
      </c>
      <c r="M25" s="165">
        <f>SUMIF('pow rez'!C3:C5,"N",'pow rez'!U3:U5)</f>
        <v>0</v>
      </c>
      <c r="N25" s="165">
        <f>SUMIF('pow rez'!C3:C5,"N",'pow rez'!V3:V5)</f>
        <v>0</v>
      </c>
      <c r="O25" s="165">
        <f>SUMIF('pow rez'!C3:C5,"N",'pow rez'!W3:W5)</f>
        <v>0</v>
      </c>
      <c r="P25" s="165">
        <f>SUMIF('pow rez'!D3:D5,"N",'pow rez'!X3:X5)</f>
        <v>0</v>
      </c>
      <c r="Q25" s="173">
        <f>SUMIF('pow rez'!E3:E5,"N",'pow rez'!Y3:Y5)</f>
        <v>0</v>
      </c>
      <c r="R25" s="20" t="b">
        <f t="shared" si="0"/>
        <v>1</v>
      </c>
      <c r="S25" s="42" t="b">
        <f t="shared" si="1"/>
        <v>1</v>
      </c>
      <c r="T25" s="21"/>
      <c r="U25" s="21"/>
      <c r="V25" s="22"/>
      <c r="W25" s="22"/>
      <c r="X25" s="22"/>
      <c r="Y25" s="22"/>
      <c r="Z25" s="22"/>
    </row>
    <row r="26" spans="1:26" ht="40.15" customHeight="1" thickBot="1" x14ac:dyDescent="0.3">
      <c r="A26" s="120" t="s">
        <v>40</v>
      </c>
      <c r="B26" s="167">
        <f>COUNTIF('pow rez'!C3:C5,"W")</f>
        <v>0</v>
      </c>
      <c r="C26" s="168">
        <f>SUMIF('pow rez'!C3:C5,"W",'pow rez'!J3:J5)</f>
        <v>0</v>
      </c>
      <c r="D26" s="169">
        <f>SUMIF('pow rez'!C3:C5,"W",'pow rez'!L3:L5)</f>
        <v>0</v>
      </c>
      <c r="E26" s="121">
        <f>SUMIF('pow rez'!C3:C5,"W",'pow rez'!K3:K5)</f>
        <v>0</v>
      </c>
      <c r="F26" s="174">
        <f>SUMIF('pow rez'!C3:C5,"W",'pow rez'!N3:N5)</f>
        <v>0</v>
      </c>
      <c r="G26" s="168">
        <f>SUMIF('pow rez'!C3:C5,"W",'pow rez'!O3:O5)</f>
        <v>0</v>
      </c>
      <c r="H26" s="168">
        <f>SUMIF('pow rez'!C3:C5,"W",'pow rez'!P3:P5)</f>
        <v>0</v>
      </c>
      <c r="I26" s="168">
        <f>SUMIF('pow rez'!C3:C5,"W",'pow rez'!Q3:Q5)</f>
        <v>0</v>
      </c>
      <c r="J26" s="168">
        <f>SUMIF('pow rez'!C3:C5,"W",'pow rez'!R3:R5)</f>
        <v>0</v>
      </c>
      <c r="K26" s="168">
        <f>SUMIF('pow rez'!C3:C5,"W",'pow rez'!S3:S5)</f>
        <v>0</v>
      </c>
      <c r="L26" s="168">
        <f>SUMIF('pow rez'!C3:C5,"W",'pow rez'!T3:T5)</f>
        <v>0</v>
      </c>
      <c r="M26" s="168">
        <f>SUMIF('pow rez'!C3:C5,"W",'pow rez'!U3:U5)</f>
        <v>0</v>
      </c>
      <c r="N26" s="168">
        <f>SUMIF('pow rez'!C3:C5,"W",'pow rez'!V3:V5)</f>
        <v>0</v>
      </c>
      <c r="O26" s="168">
        <f>SUMIF('pow rez'!C3:C5,"W",'pow rez'!W3:W5)</f>
        <v>0</v>
      </c>
      <c r="P26" s="168">
        <f>SUMIF('pow rez'!D3:D5,"W",'pow rez'!X3:X5)</f>
        <v>0</v>
      </c>
      <c r="Q26" s="175">
        <f>SUMIF('pow rez'!E3:E5,"W",'pow rez'!Y3:Y5)</f>
        <v>0</v>
      </c>
      <c r="R26" s="20" t="b">
        <f t="shared" si="0"/>
        <v>1</v>
      </c>
      <c r="S26" s="42" t="b">
        <f t="shared" si="1"/>
        <v>1</v>
      </c>
      <c r="T26" s="21"/>
      <c r="U26" s="21"/>
      <c r="V26" s="22"/>
      <c r="W26" s="22"/>
      <c r="X26" s="22"/>
      <c r="Y26" s="22"/>
      <c r="Z26" s="22"/>
    </row>
    <row r="27" spans="1:26" ht="40.15" customHeight="1" thickTop="1" x14ac:dyDescent="0.25">
      <c r="A27" s="111" t="s">
        <v>3</v>
      </c>
      <c r="B27" s="112">
        <f>COUNTA('gm rez'!L3:L20)</f>
        <v>9</v>
      </c>
      <c r="C27" s="113">
        <f>SUM('gm rez'!K3:K20)</f>
        <v>3606545.1399999997</v>
      </c>
      <c r="D27" s="114">
        <f>SUM('gm rez'!M3:M20)</f>
        <v>1083844.75</v>
      </c>
      <c r="E27" s="115">
        <f>SUM('gm rez'!L3:L20)</f>
        <v>2522700.3899999997</v>
      </c>
      <c r="F27" s="116">
        <f>SUM('gm rez'!O3:O20)</f>
        <v>0</v>
      </c>
      <c r="G27" s="113">
        <f>SUM('gm rez'!P3:P20)</f>
        <v>0</v>
      </c>
      <c r="H27" s="113">
        <f>SUM('gm rez'!Q3:Q20)</f>
        <v>0</v>
      </c>
      <c r="I27" s="113">
        <f>SUM('gm rez'!R3:R20)</f>
        <v>0</v>
      </c>
      <c r="J27" s="113">
        <f>SUM('gm rez'!S3:S20)</f>
        <v>0</v>
      </c>
      <c r="K27" s="113">
        <f>SUM('gm rez'!T3:T20)</f>
        <v>2522700.3899999997</v>
      </c>
      <c r="L27" s="113">
        <f>SUM('gm rez'!U3:U20)</f>
        <v>0</v>
      </c>
      <c r="M27" s="113">
        <f>SUM('gm rez'!V3:V20)</f>
        <v>0</v>
      </c>
      <c r="N27" s="113">
        <f>SUM('gm rez'!W3:W20)</f>
        <v>0</v>
      </c>
      <c r="O27" s="113">
        <f>SUM('gm rez'!X3:X20)</f>
        <v>0</v>
      </c>
      <c r="P27" s="113">
        <f>SUM('gm rez'!Y3:Y20)</f>
        <v>0</v>
      </c>
      <c r="Q27" s="117">
        <f>SUM('gm rez'!Z3:Z20)</f>
        <v>0</v>
      </c>
      <c r="R27" s="20" t="b">
        <f t="shared" si="0"/>
        <v>1</v>
      </c>
      <c r="S27" s="42" t="b">
        <f t="shared" si="1"/>
        <v>1</v>
      </c>
      <c r="T27" s="27"/>
      <c r="U27" s="27"/>
      <c r="V27" s="28"/>
      <c r="W27" s="28"/>
      <c r="X27" s="23"/>
      <c r="Y27" s="12"/>
      <c r="Z27" s="12"/>
    </row>
    <row r="28" spans="1:26" ht="40.15" customHeight="1" x14ac:dyDescent="0.25">
      <c r="A28" s="119" t="s">
        <v>39</v>
      </c>
      <c r="B28" s="164">
        <f>COUNTIF('gm rez'!C3:C20,"N")</f>
        <v>9</v>
      </c>
      <c r="C28" s="165">
        <f>SUMIF('gm rez'!C3:C20,"N",'gm rez'!K3:K20)</f>
        <v>3606545.1399999997</v>
      </c>
      <c r="D28" s="166">
        <f>SUMIF('gm rez'!C3:C20,"N",'gm rez'!M3:M20)</f>
        <v>1083844.75</v>
      </c>
      <c r="E28" s="50">
        <f>SUMIF('gm rez'!C3:C20,"N",'gm rez'!L3:L20)</f>
        <v>2522700.3899999997</v>
      </c>
      <c r="F28" s="172">
        <f>SUMIF('gm rez'!C3:C20,"N",'gm rez'!O3:O20)</f>
        <v>0</v>
      </c>
      <c r="G28" s="165">
        <f>SUMIF('gm rez'!C3:C20,"N",'gm rez'!P3:P20)</f>
        <v>0</v>
      </c>
      <c r="H28" s="165">
        <f>SUMIF('gm rez'!C3:C20,"N",'gm rez'!Q3:Q20)</f>
        <v>0</v>
      </c>
      <c r="I28" s="165">
        <f>SUMIF('gm rez'!C3:C20,"N",'gm rez'!R3:R20)</f>
        <v>0</v>
      </c>
      <c r="J28" s="165">
        <f>SUMIF('gm rez'!C3:C20,"N",'gm rez'!S3:S20)</f>
        <v>0</v>
      </c>
      <c r="K28" s="165">
        <f>SUMIF('gm rez'!C3:C20,"N",'gm rez'!T3:T20)</f>
        <v>2522700.3899999997</v>
      </c>
      <c r="L28" s="165">
        <f>SUMIF('gm rez'!C3:C20,"N",'gm rez'!U3:U20)</f>
        <v>0</v>
      </c>
      <c r="M28" s="165">
        <f>SUMIF('gm rez'!C3:C20,"N",'gm rez'!V3:V20)</f>
        <v>0</v>
      </c>
      <c r="N28" s="165">
        <f>SUMIF('gm rez'!C3:C20,"N",'gm rez'!W3:W20)</f>
        <v>0</v>
      </c>
      <c r="O28" s="165">
        <f>SUMIF('gm rez'!C3:C20,"N",'gm rez'!X3:X20)</f>
        <v>0</v>
      </c>
      <c r="P28" s="165">
        <f>SUMIF('gm rez'!D3:D20,"N",'gm rez'!Y3:Y20)</f>
        <v>0</v>
      </c>
      <c r="Q28" s="173">
        <f>SUMIF('gm rez'!E3:E20,"N",'gm rez'!Z3:Z20)</f>
        <v>0</v>
      </c>
      <c r="R28" s="20" t="b">
        <f t="shared" si="0"/>
        <v>1</v>
      </c>
      <c r="S28" s="42" t="b">
        <f t="shared" si="1"/>
        <v>1</v>
      </c>
      <c r="T28" s="27"/>
      <c r="U28" s="27"/>
      <c r="V28" s="28"/>
      <c r="W28" s="28"/>
      <c r="X28" s="23"/>
      <c r="Y28" s="12"/>
      <c r="Z28" s="12"/>
    </row>
    <row r="29" spans="1:26" ht="40.15" customHeight="1" thickBot="1" x14ac:dyDescent="0.3">
      <c r="A29" s="120" t="s">
        <v>40</v>
      </c>
      <c r="B29" s="167">
        <f>COUNTIF('gm rez'!C3:C20,"W")</f>
        <v>0</v>
      </c>
      <c r="C29" s="168">
        <f>SUMIF('gm rez'!C3:C20,"W",'gm rez'!K3:K20)</f>
        <v>0</v>
      </c>
      <c r="D29" s="169">
        <f>SUMIF('gm rez'!C3:C20,"W",'gm rez'!M3:M20)</f>
        <v>0</v>
      </c>
      <c r="E29" s="121">
        <f>SUMIF('gm rez'!C3:C20,"W",'gm rez'!L3:L20)</f>
        <v>0</v>
      </c>
      <c r="F29" s="174">
        <f>SUMIF('gm rez'!C3:C20,"W",'gm rez'!O3:O20)</f>
        <v>0</v>
      </c>
      <c r="G29" s="168">
        <f>SUMIF('gm rez'!C3:C20,"W",'gm rez'!P3:P20)</f>
        <v>0</v>
      </c>
      <c r="H29" s="168">
        <f>SUMIF('gm rez'!C3:C20,"W",'gm rez'!Q3:Q20)</f>
        <v>0</v>
      </c>
      <c r="I29" s="168">
        <f>SUMIF('gm rez'!C3:C20,"W",'gm rez'!R3:R20)</f>
        <v>0</v>
      </c>
      <c r="J29" s="168">
        <f>SUMIF('gm rez'!C3:C20,"W",'gm rez'!S3:S20)</f>
        <v>0</v>
      </c>
      <c r="K29" s="168">
        <f>SUMIF('gm rez'!C3:C20,"W",'gm rez'!T3:T20)</f>
        <v>0</v>
      </c>
      <c r="L29" s="168">
        <f>SUMIF('gm rez'!C3:C20,"W",'gm rez'!U3:U20)</f>
        <v>0</v>
      </c>
      <c r="M29" s="168">
        <f>SUMIF('gm rez'!C3:C20,"W",'gm rez'!V3:V20)</f>
        <v>0</v>
      </c>
      <c r="N29" s="168">
        <f>SUMIF('gm rez'!C3:C20,"W",'gm rez'!W3:W20)</f>
        <v>0</v>
      </c>
      <c r="O29" s="168">
        <f>SUMIF('gm rez'!C3:C20,"W",'gm rez'!X3:X20)</f>
        <v>0</v>
      </c>
      <c r="P29" s="168">
        <f>SUMIF('gm rez'!D3:D20,"W",'gm rez'!Y3:Y20)</f>
        <v>0</v>
      </c>
      <c r="Q29" s="175">
        <f>SUMIF('gm rez'!E3:E20,"W",'gm rez'!Z3:Z20)</f>
        <v>0</v>
      </c>
      <c r="R29" s="20" t="b">
        <f t="shared" si="0"/>
        <v>1</v>
      </c>
      <c r="S29" s="42" t="b">
        <f t="shared" si="1"/>
        <v>1</v>
      </c>
      <c r="T29" s="27"/>
      <c r="U29" s="27"/>
      <c r="V29" s="28"/>
      <c r="W29" s="28"/>
      <c r="X29" s="23"/>
      <c r="Y29" s="12"/>
      <c r="Z29" s="12"/>
    </row>
    <row r="30" spans="1:26" ht="40.15" customHeight="1" thickTop="1" x14ac:dyDescent="0.25">
      <c r="A30" s="186" t="s">
        <v>23</v>
      </c>
      <c r="B30" s="187">
        <f>B24+B27</f>
        <v>9</v>
      </c>
      <c r="C30" s="188">
        <f t="shared" ref="C30:O30" si="8">C24+C27</f>
        <v>3606545.1399999997</v>
      </c>
      <c r="D30" s="189">
        <f t="shared" si="8"/>
        <v>1083844.75</v>
      </c>
      <c r="E30" s="190">
        <f t="shared" si="8"/>
        <v>2522700.3899999997</v>
      </c>
      <c r="F30" s="191">
        <f t="shared" si="8"/>
        <v>0</v>
      </c>
      <c r="G30" s="188">
        <f t="shared" si="8"/>
        <v>0</v>
      </c>
      <c r="H30" s="188">
        <f t="shared" si="8"/>
        <v>0</v>
      </c>
      <c r="I30" s="188">
        <f t="shared" si="8"/>
        <v>0</v>
      </c>
      <c r="J30" s="188">
        <f t="shared" si="8"/>
        <v>0</v>
      </c>
      <c r="K30" s="188">
        <f t="shared" si="8"/>
        <v>2522700.3899999997</v>
      </c>
      <c r="L30" s="188">
        <f t="shared" si="8"/>
        <v>0</v>
      </c>
      <c r="M30" s="188">
        <f t="shared" si="8"/>
        <v>0</v>
      </c>
      <c r="N30" s="188">
        <f t="shared" si="8"/>
        <v>0</v>
      </c>
      <c r="O30" s="188">
        <f t="shared" si="8"/>
        <v>0</v>
      </c>
      <c r="P30" s="188">
        <f t="shared" ref="P30:Q30" si="9">P24+P27</f>
        <v>0</v>
      </c>
      <c r="Q30" s="192">
        <f t="shared" si="9"/>
        <v>0</v>
      </c>
      <c r="R30" s="20" t="b">
        <f t="shared" si="0"/>
        <v>1</v>
      </c>
      <c r="S30" s="42" t="b">
        <f t="shared" si="1"/>
        <v>1</v>
      </c>
      <c r="T30" s="29"/>
      <c r="U30" s="29"/>
      <c r="V30" s="2"/>
      <c r="W30" s="2"/>
    </row>
    <row r="31" spans="1:26" ht="40.15" customHeight="1" x14ac:dyDescent="0.25">
      <c r="A31" s="97" t="s">
        <v>39</v>
      </c>
      <c r="B31" s="95">
        <f t="shared" ref="B31:O31" si="10">B25+B28</f>
        <v>9</v>
      </c>
      <c r="C31" s="86">
        <f t="shared" si="10"/>
        <v>3606545.1399999997</v>
      </c>
      <c r="D31" s="100">
        <f t="shared" si="10"/>
        <v>1083844.75</v>
      </c>
      <c r="E31" s="50">
        <f t="shared" si="10"/>
        <v>2522700.3899999997</v>
      </c>
      <c r="F31" s="105">
        <f t="shared" si="10"/>
        <v>0</v>
      </c>
      <c r="G31" s="86">
        <f t="shared" si="10"/>
        <v>0</v>
      </c>
      <c r="H31" s="86">
        <f t="shared" si="10"/>
        <v>0</v>
      </c>
      <c r="I31" s="86">
        <f t="shared" si="10"/>
        <v>0</v>
      </c>
      <c r="J31" s="86">
        <f t="shared" si="10"/>
        <v>0</v>
      </c>
      <c r="K31" s="86">
        <f t="shared" si="10"/>
        <v>2522700.3899999997</v>
      </c>
      <c r="L31" s="86">
        <f t="shared" si="10"/>
        <v>0</v>
      </c>
      <c r="M31" s="86">
        <f t="shared" si="10"/>
        <v>0</v>
      </c>
      <c r="N31" s="86">
        <f t="shared" si="10"/>
        <v>0</v>
      </c>
      <c r="O31" s="86">
        <f t="shared" si="10"/>
        <v>0</v>
      </c>
      <c r="P31" s="86">
        <f t="shared" ref="P31:Q31" si="11">P25+P28</f>
        <v>0</v>
      </c>
      <c r="Q31" s="92">
        <f t="shared" si="11"/>
        <v>0</v>
      </c>
      <c r="R31" s="20" t="b">
        <f t="shared" si="0"/>
        <v>1</v>
      </c>
      <c r="S31" s="42" t="b">
        <f t="shared" si="1"/>
        <v>1</v>
      </c>
      <c r="T31" s="29"/>
      <c r="U31" s="29"/>
      <c r="V31" s="2"/>
      <c r="W31" s="2"/>
    </row>
    <row r="32" spans="1:26" ht="40.15" customHeight="1" thickBot="1" x14ac:dyDescent="0.3">
      <c r="A32" s="139" t="s">
        <v>40</v>
      </c>
      <c r="B32" s="140">
        <f t="shared" ref="B32:O32" si="12">B26+B29</f>
        <v>0</v>
      </c>
      <c r="C32" s="141">
        <f t="shared" si="12"/>
        <v>0</v>
      </c>
      <c r="D32" s="142">
        <f t="shared" si="12"/>
        <v>0</v>
      </c>
      <c r="E32" s="143">
        <f t="shared" si="12"/>
        <v>0</v>
      </c>
      <c r="F32" s="144">
        <f t="shared" si="12"/>
        <v>0</v>
      </c>
      <c r="G32" s="141">
        <f t="shared" si="12"/>
        <v>0</v>
      </c>
      <c r="H32" s="141">
        <f t="shared" si="12"/>
        <v>0</v>
      </c>
      <c r="I32" s="141">
        <f t="shared" si="12"/>
        <v>0</v>
      </c>
      <c r="J32" s="141">
        <f t="shared" si="12"/>
        <v>0</v>
      </c>
      <c r="K32" s="141">
        <f t="shared" si="12"/>
        <v>0</v>
      </c>
      <c r="L32" s="141">
        <f t="shared" si="12"/>
        <v>0</v>
      </c>
      <c r="M32" s="141">
        <f t="shared" si="12"/>
        <v>0</v>
      </c>
      <c r="N32" s="141">
        <f t="shared" si="12"/>
        <v>0</v>
      </c>
      <c r="O32" s="141">
        <f t="shared" si="12"/>
        <v>0</v>
      </c>
      <c r="P32" s="141">
        <f t="shared" ref="P32:Q32" si="13">P26+P29</f>
        <v>0</v>
      </c>
      <c r="Q32" s="145">
        <f t="shared" si="13"/>
        <v>0</v>
      </c>
      <c r="R32" s="20" t="b">
        <f t="shared" si="0"/>
        <v>1</v>
      </c>
      <c r="S32" s="42" t="b">
        <f t="shared" si="1"/>
        <v>1</v>
      </c>
      <c r="T32" s="29"/>
      <c r="U32" s="29"/>
      <c r="V32" s="2"/>
      <c r="W32" s="2"/>
    </row>
    <row r="33" spans="1:23" ht="40.15" customHeight="1" thickTop="1" x14ac:dyDescent="0.25">
      <c r="A33" s="146" t="s">
        <v>34</v>
      </c>
      <c r="B33" s="147">
        <f>B20+B30</f>
        <v>73</v>
      </c>
      <c r="C33" s="148">
        <f t="shared" ref="C33:O33" si="14">C20+C30</f>
        <v>195283082.04999995</v>
      </c>
      <c r="D33" s="149">
        <f t="shared" si="14"/>
        <v>67662877.450000048</v>
      </c>
      <c r="E33" s="150">
        <f t="shared" si="14"/>
        <v>127620204.59999995</v>
      </c>
      <c r="F33" s="151">
        <f t="shared" si="14"/>
        <v>0</v>
      </c>
      <c r="G33" s="148">
        <f t="shared" si="14"/>
        <v>0</v>
      </c>
      <c r="H33" s="148">
        <f t="shared" si="14"/>
        <v>0</v>
      </c>
      <c r="I33" s="148">
        <f t="shared" si="14"/>
        <v>0</v>
      </c>
      <c r="J33" s="148">
        <f t="shared" si="14"/>
        <v>10835376.120000001</v>
      </c>
      <c r="K33" s="148">
        <f t="shared" si="14"/>
        <v>101295935.27999999</v>
      </c>
      <c r="L33" s="148">
        <f t="shared" si="14"/>
        <v>13501542.439999999</v>
      </c>
      <c r="M33" s="148">
        <f t="shared" si="14"/>
        <v>1987350.7600000007</v>
      </c>
      <c r="N33" s="148">
        <f t="shared" si="14"/>
        <v>0</v>
      </c>
      <c r="O33" s="148">
        <f t="shared" si="14"/>
        <v>0</v>
      </c>
      <c r="P33" s="148">
        <f t="shared" ref="P33:Q33" si="15">P20+P30</f>
        <v>0</v>
      </c>
      <c r="Q33" s="152">
        <f t="shared" si="15"/>
        <v>0</v>
      </c>
      <c r="R33" s="20" t="b">
        <f t="shared" si="0"/>
        <v>1</v>
      </c>
      <c r="S33" s="42" t="b">
        <f t="shared" si="1"/>
        <v>1</v>
      </c>
      <c r="T33" s="29"/>
      <c r="U33" s="29"/>
      <c r="V33" s="2"/>
      <c r="W33" s="2"/>
    </row>
    <row r="34" spans="1:23" ht="40.15" customHeight="1" x14ac:dyDescent="0.25">
      <c r="A34" s="179" t="s">
        <v>38</v>
      </c>
      <c r="B34" s="180">
        <f>B21</f>
        <v>8</v>
      </c>
      <c r="C34" s="181">
        <f t="shared" ref="C34:O34" si="16">C21</f>
        <v>32087163.750000004</v>
      </c>
      <c r="D34" s="182">
        <f t="shared" si="16"/>
        <v>10621461.620000001</v>
      </c>
      <c r="E34" s="51">
        <f t="shared" si="16"/>
        <v>21465702.130000003</v>
      </c>
      <c r="F34" s="183">
        <f t="shared" si="16"/>
        <v>0</v>
      </c>
      <c r="G34" s="181">
        <f t="shared" si="16"/>
        <v>0</v>
      </c>
      <c r="H34" s="181">
        <f t="shared" si="16"/>
        <v>0</v>
      </c>
      <c r="I34" s="181">
        <f t="shared" si="16"/>
        <v>0</v>
      </c>
      <c r="J34" s="181">
        <f t="shared" si="16"/>
        <v>10835376.120000001</v>
      </c>
      <c r="K34" s="181">
        <f t="shared" si="16"/>
        <v>10630326.010000002</v>
      </c>
      <c r="L34" s="181">
        <f t="shared" si="16"/>
        <v>0</v>
      </c>
      <c r="M34" s="181">
        <f t="shared" si="16"/>
        <v>0</v>
      </c>
      <c r="N34" s="181">
        <f t="shared" si="16"/>
        <v>0</v>
      </c>
      <c r="O34" s="181">
        <f t="shared" si="16"/>
        <v>0</v>
      </c>
      <c r="P34" s="181">
        <f t="shared" ref="P34:Q34" si="17">P21</f>
        <v>0</v>
      </c>
      <c r="Q34" s="184">
        <f t="shared" si="17"/>
        <v>0</v>
      </c>
      <c r="R34" s="20" t="b">
        <f t="shared" si="0"/>
        <v>1</v>
      </c>
      <c r="S34" s="42" t="b">
        <f t="shared" si="1"/>
        <v>1</v>
      </c>
      <c r="T34" s="29"/>
      <c r="U34" s="29"/>
      <c r="V34" s="2"/>
      <c r="W34" s="2"/>
    </row>
    <row r="35" spans="1:23" ht="40.15" customHeight="1" x14ac:dyDescent="0.25">
      <c r="A35" s="153" t="s">
        <v>39</v>
      </c>
      <c r="B35" s="96">
        <f>B22+B31</f>
        <v>55</v>
      </c>
      <c r="C35" s="87">
        <f t="shared" ref="C35:O35" si="18">C22+C31</f>
        <v>121719600.48999999</v>
      </c>
      <c r="D35" s="101">
        <f t="shared" si="18"/>
        <v>46150330.240000032</v>
      </c>
      <c r="E35" s="107">
        <f t="shared" si="18"/>
        <v>75569270.249999985</v>
      </c>
      <c r="F35" s="106">
        <f t="shared" si="18"/>
        <v>0</v>
      </c>
      <c r="G35" s="87">
        <f t="shared" si="18"/>
        <v>0</v>
      </c>
      <c r="H35" s="87">
        <f t="shared" si="18"/>
        <v>0</v>
      </c>
      <c r="I35" s="87">
        <f t="shared" si="18"/>
        <v>0</v>
      </c>
      <c r="J35" s="87">
        <f t="shared" si="18"/>
        <v>0</v>
      </c>
      <c r="K35" s="87">
        <f t="shared" si="18"/>
        <v>75569270.249999985</v>
      </c>
      <c r="L35" s="87">
        <f t="shared" si="18"/>
        <v>0</v>
      </c>
      <c r="M35" s="87">
        <f t="shared" si="18"/>
        <v>0</v>
      </c>
      <c r="N35" s="87">
        <f t="shared" si="18"/>
        <v>0</v>
      </c>
      <c r="O35" s="87">
        <f t="shared" si="18"/>
        <v>0</v>
      </c>
      <c r="P35" s="87">
        <f t="shared" ref="P35:Q35" si="19">P22+P31</f>
        <v>0</v>
      </c>
      <c r="Q35" s="154">
        <f t="shared" si="19"/>
        <v>0</v>
      </c>
      <c r="R35" s="20" t="b">
        <f t="shared" si="0"/>
        <v>1</v>
      </c>
      <c r="S35" s="42" t="b">
        <f t="shared" si="1"/>
        <v>1</v>
      </c>
      <c r="T35" s="29"/>
      <c r="U35" s="29"/>
      <c r="V35" s="2"/>
      <c r="W35" s="2"/>
    </row>
    <row r="36" spans="1:23" ht="40.15" customHeight="1" thickBot="1" x14ac:dyDescent="0.3">
      <c r="A36" s="155" t="s">
        <v>40</v>
      </c>
      <c r="B36" s="156">
        <f>B23+B32</f>
        <v>10</v>
      </c>
      <c r="C36" s="157">
        <f t="shared" ref="C36:O36" si="20">C23+C32</f>
        <v>41476317.81000001</v>
      </c>
      <c r="D36" s="158">
        <f t="shared" si="20"/>
        <v>10891085.589999996</v>
      </c>
      <c r="E36" s="121">
        <f t="shared" si="20"/>
        <v>30585232.219999999</v>
      </c>
      <c r="F36" s="159">
        <f t="shared" si="20"/>
        <v>0</v>
      </c>
      <c r="G36" s="157">
        <f t="shared" si="20"/>
        <v>0</v>
      </c>
      <c r="H36" s="157">
        <f t="shared" si="20"/>
        <v>0</v>
      </c>
      <c r="I36" s="157">
        <f t="shared" si="20"/>
        <v>0</v>
      </c>
      <c r="J36" s="157">
        <f t="shared" si="20"/>
        <v>0</v>
      </c>
      <c r="K36" s="157">
        <f t="shared" si="20"/>
        <v>15096339.02</v>
      </c>
      <c r="L36" s="157">
        <f t="shared" si="20"/>
        <v>13501542.439999999</v>
      </c>
      <c r="M36" s="157">
        <f t="shared" si="20"/>
        <v>1987350.7600000007</v>
      </c>
      <c r="N36" s="157">
        <f t="shared" si="20"/>
        <v>0</v>
      </c>
      <c r="O36" s="157">
        <f t="shared" si="20"/>
        <v>0</v>
      </c>
      <c r="P36" s="157">
        <f t="shared" ref="P36:Q36" si="21">P23+P32</f>
        <v>0</v>
      </c>
      <c r="Q36" s="160">
        <f t="shared" si="21"/>
        <v>0</v>
      </c>
      <c r="R36" s="20" t="b">
        <f t="shared" si="0"/>
        <v>1</v>
      </c>
      <c r="S36" s="42" t="b">
        <f t="shared" si="1"/>
        <v>1</v>
      </c>
      <c r="T36" s="29"/>
      <c r="U36" s="29"/>
      <c r="V36" s="2"/>
      <c r="W36" s="2"/>
    </row>
    <row r="37" spans="1:23" ht="15.75" thickTop="1" x14ac:dyDescent="0.25">
      <c r="A37" s="30"/>
      <c r="B37" s="30" t="b">
        <f>B12+B16=B20</f>
        <v>1</v>
      </c>
      <c r="C37" s="30" t="b">
        <f t="shared" ref="C37:Q37" si="22">C12+C16=C20</f>
        <v>1</v>
      </c>
      <c r="D37" s="30" t="b">
        <f t="shared" si="22"/>
        <v>1</v>
      </c>
      <c r="E37" s="30" t="b">
        <f t="shared" si="22"/>
        <v>1</v>
      </c>
      <c r="F37" s="30" t="b">
        <f t="shared" si="22"/>
        <v>1</v>
      </c>
      <c r="G37" s="30" t="b">
        <f t="shared" si="22"/>
        <v>1</v>
      </c>
      <c r="H37" s="30" t="b">
        <f t="shared" si="22"/>
        <v>1</v>
      </c>
      <c r="I37" s="30" t="b">
        <f t="shared" si="22"/>
        <v>1</v>
      </c>
      <c r="J37" s="30" t="b">
        <f t="shared" si="22"/>
        <v>1</v>
      </c>
      <c r="K37" s="30" t="b">
        <f t="shared" si="22"/>
        <v>1</v>
      </c>
      <c r="L37" s="30" t="b">
        <f t="shared" si="22"/>
        <v>1</v>
      </c>
      <c r="M37" s="30" t="b">
        <f t="shared" si="22"/>
        <v>1</v>
      </c>
      <c r="N37" s="30" t="b">
        <f t="shared" si="22"/>
        <v>1</v>
      </c>
      <c r="O37" s="30" t="b">
        <f t="shared" si="22"/>
        <v>1</v>
      </c>
      <c r="P37" s="30" t="b">
        <f t="shared" si="22"/>
        <v>1</v>
      </c>
      <c r="Q37" s="30" t="b">
        <f t="shared" si="22"/>
        <v>1</v>
      </c>
      <c r="R37" s="30"/>
      <c r="S37" s="30"/>
      <c r="T37" s="29"/>
      <c r="U37" s="29"/>
      <c r="V37" s="2"/>
      <c r="W37" s="2"/>
    </row>
    <row r="38" spans="1:23" x14ac:dyDescent="0.25">
      <c r="A38" s="30"/>
      <c r="B38" s="30" t="b">
        <f>B13+B17=B21</f>
        <v>1</v>
      </c>
      <c r="C38" s="30" t="b">
        <f t="shared" ref="C38:Q38" si="23">C13+C17=C21</f>
        <v>1</v>
      </c>
      <c r="D38" s="30" t="b">
        <f t="shared" si="23"/>
        <v>1</v>
      </c>
      <c r="E38" s="30" t="b">
        <f t="shared" si="23"/>
        <v>1</v>
      </c>
      <c r="F38" s="30" t="b">
        <f t="shared" si="23"/>
        <v>1</v>
      </c>
      <c r="G38" s="30" t="b">
        <f t="shared" si="23"/>
        <v>1</v>
      </c>
      <c r="H38" s="30" t="b">
        <f t="shared" si="23"/>
        <v>1</v>
      </c>
      <c r="I38" s="30" t="b">
        <f t="shared" si="23"/>
        <v>1</v>
      </c>
      <c r="J38" s="30" t="b">
        <f t="shared" si="23"/>
        <v>1</v>
      </c>
      <c r="K38" s="30" t="b">
        <f t="shared" si="23"/>
        <v>1</v>
      </c>
      <c r="L38" s="30" t="b">
        <f t="shared" si="23"/>
        <v>1</v>
      </c>
      <c r="M38" s="30" t="b">
        <f t="shared" si="23"/>
        <v>1</v>
      </c>
      <c r="N38" s="30" t="b">
        <f t="shared" si="23"/>
        <v>1</v>
      </c>
      <c r="O38" s="30" t="b">
        <f t="shared" si="23"/>
        <v>1</v>
      </c>
      <c r="P38" s="30" t="b">
        <f t="shared" si="23"/>
        <v>1</v>
      </c>
      <c r="Q38" s="30" t="b">
        <f t="shared" si="23"/>
        <v>1</v>
      </c>
      <c r="R38" s="30"/>
      <c r="S38" s="30"/>
      <c r="T38" s="29"/>
      <c r="U38" s="29"/>
      <c r="V38" s="2"/>
      <c r="W38" s="2"/>
    </row>
    <row r="39" spans="1:23" x14ac:dyDescent="0.25">
      <c r="A39" s="30"/>
      <c r="B39" s="30" t="b">
        <f>B14+B18=B22</f>
        <v>1</v>
      </c>
      <c r="C39" s="30" t="b">
        <f t="shared" ref="C39:Q39" si="24">C14+C18=C22</f>
        <v>1</v>
      </c>
      <c r="D39" s="30" t="b">
        <f t="shared" si="24"/>
        <v>1</v>
      </c>
      <c r="E39" s="30" t="b">
        <f t="shared" si="24"/>
        <v>1</v>
      </c>
      <c r="F39" s="30" t="b">
        <f t="shared" si="24"/>
        <v>1</v>
      </c>
      <c r="G39" s="30" t="b">
        <f t="shared" si="24"/>
        <v>1</v>
      </c>
      <c r="H39" s="30" t="b">
        <f t="shared" si="24"/>
        <v>1</v>
      </c>
      <c r="I39" s="30" t="b">
        <f t="shared" si="24"/>
        <v>1</v>
      </c>
      <c r="J39" s="30" t="b">
        <f t="shared" si="24"/>
        <v>1</v>
      </c>
      <c r="K39" s="30" t="b">
        <f t="shared" si="24"/>
        <v>1</v>
      </c>
      <c r="L39" s="30" t="b">
        <f t="shared" si="24"/>
        <v>1</v>
      </c>
      <c r="M39" s="30" t="b">
        <f t="shared" si="24"/>
        <v>1</v>
      </c>
      <c r="N39" s="30" t="b">
        <f t="shared" si="24"/>
        <v>1</v>
      </c>
      <c r="O39" s="30" t="b">
        <f t="shared" si="24"/>
        <v>1</v>
      </c>
      <c r="P39" s="30" t="b">
        <f t="shared" si="24"/>
        <v>1</v>
      </c>
      <c r="Q39" s="30" t="b">
        <f t="shared" si="24"/>
        <v>1</v>
      </c>
      <c r="R39" s="30"/>
      <c r="S39" s="30"/>
      <c r="T39" s="29"/>
      <c r="U39" s="29"/>
      <c r="V39" s="2"/>
      <c r="W39" s="2"/>
    </row>
    <row r="40" spans="1:23" x14ac:dyDescent="0.25">
      <c r="A40" s="30"/>
      <c r="B40" s="30" t="b">
        <f>B15+B19=B23</f>
        <v>1</v>
      </c>
      <c r="C40" s="30" t="b">
        <f t="shared" ref="C40:Q40" si="25">C15+C19=C23</f>
        <v>1</v>
      </c>
      <c r="D40" s="30" t="b">
        <f t="shared" si="25"/>
        <v>1</v>
      </c>
      <c r="E40" s="30" t="b">
        <f t="shared" si="25"/>
        <v>1</v>
      </c>
      <c r="F40" s="30" t="b">
        <f t="shared" si="25"/>
        <v>1</v>
      </c>
      <c r="G40" s="30" t="b">
        <f t="shared" si="25"/>
        <v>1</v>
      </c>
      <c r="H40" s="30" t="b">
        <f t="shared" si="25"/>
        <v>1</v>
      </c>
      <c r="I40" s="30" t="b">
        <f t="shared" si="25"/>
        <v>1</v>
      </c>
      <c r="J40" s="30" t="b">
        <f t="shared" si="25"/>
        <v>1</v>
      </c>
      <c r="K40" s="30" t="b">
        <f t="shared" si="25"/>
        <v>1</v>
      </c>
      <c r="L40" s="30" t="b">
        <f t="shared" si="25"/>
        <v>1</v>
      </c>
      <c r="M40" s="30" t="b">
        <f t="shared" si="25"/>
        <v>1</v>
      </c>
      <c r="N40" s="30" t="b">
        <f t="shared" si="25"/>
        <v>1</v>
      </c>
      <c r="O40" s="30" t="b">
        <f t="shared" si="25"/>
        <v>1</v>
      </c>
      <c r="P40" s="30" t="b">
        <f t="shared" si="25"/>
        <v>1</v>
      </c>
      <c r="Q40" s="30" t="b">
        <f t="shared" si="25"/>
        <v>1</v>
      </c>
      <c r="R40" s="30"/>
      <c r="S40" s="30"/>
      <c r="T40" s="29"/>
      <c r="U40" s="29"/>
      <c r="V40" s="2"/>
      <c r="W40" s="2"/>
    </row>
    <row r="41" spans="1:23" x14ac:dyDescent="0.25">
      <c r="A41" s="31"/>
      <c r="B41" s="31" t="b">
        <f>B24+B27=B30</f>
        <v>1</v>
      </c>
      <c r="C41" s="31" t="b">
        <f t="shared" ref="C41:Q41" si="26">C24+C27=C30</f>
        <v>1</v>
      </c>
      <c r="D41" s="31" t="b">
        <f t="shared" si="26"/>
        <v>1</v>
      </c>
      <c r="E41" s="31" t="b">
        <f t="shared" si="26"/>
        <v>1</v>
      </c>
      <c r="F41" s="31" t="b">
        <f t="shared" si="26"/>
        <v>1</v>
      </c>
      <c r="G41" s="31" t="b">
        <f t="shared" si="26"/>
        <v>1</v>
      </c>
      <c r="H41" s="31" t="b">
        <f t="shared" si="26"/>
        <v>1</v>
      </c>
      <c r="I41" s="31" t="b">
        <f t="shared" si="26"/>
        <v>1</v>
      </c>
      <c r="J41" s="31" t="b">
        <f t="shared" si="26"/>
        <v>1</v>
      </c>
      <c r="K41" s="31" t="b">
        <f t="shared" si="26"/>
        <v>1</v>
      </c>
      <c r="L41" s="31" t="b">
        <f t="shared" si="26"/>
        <v>1</v>
      </c>
      <c r="M41" s="31" t="b">
        <f t="shared" si="26"/>
        <v>1</v>
      </c>
      <c r="N41" s="31" t="b">
        <f t="shared" si="26"/>
        <v>1</v>
      </c>
      <c r="O41" s="31" t="b">
        <f t="shared" si="26"/>
        <v>1</v>
      </c>
      <c r="P41" s="31" t="b">
        <f t="shared" si="26"/>
        <v>1</v>
      </c>
      <c r="Q41" s="31" t="b">
        <f t="shared" si="26"/>
        <v>1</v>
      </c>
      <c r="R41" s="31"/>
      <c r="S41" s="31"/>
      <c r="T41" s="2"/>
      <c r="U41" s="2"/>
      <c r="V41" s="2"/>
      <c r="W41" s="2"/>
    </row>
    <row r="42" spans="1:23" x14ac:dyDescent="0.25">
      <c r="A42" s="31"/>
      <c r="B42" s="31" t="b">
        <f>B28+B25=B31</f>
        <v>1</v>
      </c>
      <c r="C42" s="31" t="b">
        <f t="shared" ref="C42:Q42" si="27">C28+C25=C31</f>
        <v>1</v>
      </c>
      <c r="D42" s="31" t="b">
        <f t="shared" si="27"/>
        <v>1</v>
      </c>
      <c r="E42" s="31" t="b">
        <f t="shared" si="27"/>
        <v>1</v>
      </c>
      <c r="F42" s="31" t="b">
        <f t="shared" si="27"/>
        <v>1</v>
      </c>
      <c r="G42" s="31" t="b">
        <f t="shared" si="27"/>
        <v>1</v>
      </c>
      <c r="H42" s="31" t="b">
        <f t="shared" si="27"/>
        <v>1</v>
      </c>
      <c r="I42" s="31" t="b">
        <f t="shared" si="27"/>
        <v>1</v>
      </c>
      <c r="J42" s="31" t="b">
        <f t="shared" si="27"/>
        <v>1</v>
      </c>
      <c r="K42" s="31" t="b">
        <f t="shared" si="27"/>
        <v>1</v>
      </c>
      <c r="L42" s="31" t="b">
        <f>L28+L25=L31</f>
        <v>1</v>
      </c>
      <c r="M42" s="31" t="b">
        <f t="shared" si="27"/>
        <v>1</v>
      </c>
      <c r="N42" s="31" t="b">
        <f t="shared" si="27"/>
        <v>1</v>
      </c>
      <c r="O42" s="31" t="b">
        <f t="shared" si="27"/>
        <v>1</v>
      </c>
      <c r="P42" s="31" t="b">
        <f t="shared" si="27"/>
        <v>1</v>
      </c>
      <c r="Q42" s="31" t="b">
        <f t="shared" si="27"/>
        <v>1</v>
      </c>
      <c r="R42" s="31"/>
      <c r="S42" s="31"/>
      <c r="T42" s="2"/>
      <c r="U42" s="2"/>
      <c r="V42" s="2"/>
      <c r="W42" s="2"/>
    </row>
    <row r="43" spans="1:23" x14ac:dyDescent="0.25">
      <c r="A43" s="31"/>
      <c r="B43" s="31" t="b">
        <f>B26+B29=B32</f>
        <v>1</v>
      </c>
      <c r="C43" s="31" t="b">
        <f t="shared" ref="C43:Q43" si="28">C26+C29=C32</f>
        <v>1</v>
      </c>
      <c r="D43" s="31" t="b">
        <f t="shared" si="28"/>
        <v>1</v>
      </c>
      <c r="E43" s="31" t="b">
        <f t="shared" si="28"/>
        <v>1</v>
      </c>
      <c r="F43" s="31" t="b">
        <f t="shared" si="28"/>
        <v>1</v>
      </c>
      <c r="G43" s="31" t="b">
        <f t="shared" si="28"/>
        <v>1</v>
      </c>
      <c r="H43" s="31" t="b">
        <f t="shared" si="28"/>
        <v>1</v>
      </c>
      <c r="I43" s="31" t="b">
        <f t="shared" si="28"/>
        <v>1</v>
      </c>
      <c r="J43" s="31" t="b">
        <f t="shared" si="28"/>
        <v>1</v>
      </c>
      <c r="K43" s="31" t="b">
        <f t="shared" si="28"/>
        <v>1</v>
      </c>
      <c r="L43" s="31" t="b">
        <f t="shared" si="28"/>
        <v>1</v>
      </c>
      <c r="M43" s="31" t="b">
        <f t="shared" si="28"/>
        <v>1</v>
      </c>
      <c r="N43" s="31" t="b">
        <f t="shared" si="28"/>
        <v>1</v>
      </c>
      <c r="O43" s="31" t="b">
        <f t="shared" si="28"/>
        <v>1</v>
      </c>
      <c r="P43" s="31" t="b">
        <f t="shared" si="28"/>
        <v>1</v>
      </c>
      <c r="Q43" s="31" t="b">
        <f t="shared" si="28"/>
        <v>1</v>
      </c>
      <c r="R43" s="31"/>
      <c r="S43" s="31"/>
      <c r="T43" s="2"/>
      <c r="U43" s="2"/>
      <c r="V43" s="2"/>
      <c r="W43" s="2"/>
    </row>
    <row r="44" spans="1:23" x14ac:dyDescent="0.25">
      <c r="B44" s="14" t="b">
        <f>B20+B30=B33</f>
        <v>1</v>
      </c>
      <c r="C44" s="14" t="b">
        <f t="shared" ref="C44:Q44" si="29">C20+C30=C33</f>
        <v>1</v>
      </c>
      <c r="D44" s="14" t="b">
        <f t="shared" si="29"/>
        <v>1</v>
      </c>
      <c r="E44" s="14" t="b">
        <f t="shared" si="29"/>
        <v>1</v>
      </c>
      <c r="F44" s="14" t="b">
        <f t="shared" si="29"/>
        <v>1</v>
      </c>
      <c r="G44" s="14" t="b">
        <f t="shared" si="29"/>
        <v>1</v>
      </c>
      <c r="H44" s="14" t="b">
        <f t="shared" si="29"/>
        <v>1</v>
      </c>
      <c r="I44" s="14" t="b">
        <f t="shared" si="29"/>
        <v>1</v>
      </c>
      <c r="J44" s="14" t="b">
        <f t="shared" si="29"/>
        <v>1</v>
      </c>
      <c r="K44" s="14" t="b">
        <f t="shared" si="29"/>
        <v>1</v>
      </c>
      <c r="L44" s="14" t="b">
        <f t="shared" si="29"/>
        <v>1</v>
      </c>
      <c r="M44" s="14" t="b">
        <f t="shared" si="29"/>
        <v>1</v>
      </c>
      <c r="N44" s="14" t="b">
        <f t="shared" si="29"/>
        <v>1</v>
      </c>
      <c r="O44" s="14" t="b">
        <f t="shared" si="29"/>
        <v>1</v>
      </c>
      <c r="P44" s="14" t="b">
        <f t="shared" si="29"/>
        <v>1</v>
      </c>
      <c r="Q44" s="14" t="b">
        <f t="shared" si="29"/>
        <v>1</v>
      </c>
    </row>
  </sheetData>
  <customSheetViews>
    <customSheetView guid="{B4405FF1-036B-45AD-810F-8C9DF67F9D7F}" showPageBreaks="1" fitToPage="1" printArea="1" view="pageBreakPreview" topLeftCell="A4">
      <selection activeCell="K18" sqref="K18"/>
      <pageMargins left="0.70866141732283472" right="0.70866141732283472" top="0.74803149606299213" bottom="0.74803149606299213" header="0.31496062992125984" footer="0.31496062992125984"/>
      <pageSetup paperSize="8" scale="63" orientation="landscape" r:id="rId1"/>
      <headerFooter>
        <oddHeader>&amp;LWojewództ&amp;K000000wo Opolskie</oddHeader>
      </headerFooter>
    </customSheetView>
    <customSheetView guid="{C76DCD22-0DC9-4799-A058-B64B837BBA0E}" showPageBreaks="1" fitToPage="1" printArea="1" view="pageBreakPreview" topLeftCell="A4">
      <selection activeCell="K20" sqref="K20"/>
      <pageMargins left="0.70866141732283472" right="0.70866141732283472" top="0.74803149606299213" bottom="0.74803149606299213" header="0.31496062992125984" footer="0.31496062992125984"/>
      <pageSetup paperSize="8" scale="63" orientation="landscape" r:id="rId2"/>
      <headerFooter>
        <oddHeader>&amp;LWojewództ&amp;K000000wo Opolskie</oddHeader>
      </headerFooter>
    </customSheetView>
    <customSheetView guid="{E7CAF9DC-53CB-464B-97B7-E2DEFBC16359}" showPageBreaks="1" fitToPage="1" printArea="1" view="pageBreakPreview" topLeftCell="A4">
      <selection activeCell="K20" sqref="K20"/>
      <pageMargins left="0.70866141732283472" right="0.70866141732283472" top="0.74803149606299213" bottom="0.74803149606299213" header="0.31496062992125984" footer="0.31496062992125984"/>
      <pageSetup paperSize="8" scale="63" orientation="landscape" r:id="rId3"/>
      <headerFooter>
        <oddHeader>&amp;LWojewództ&amp;K000000wo Opolskie</oddHeader>
      </headerFooter>
    </customSheetView>
    <customSheetView guid="{CB410AB3-2DDF-47B7-B021-1F68EEA98257}" showPageBreaks="1" fitToPage="1" printArea="1" view="pageBreakPreview" topLeftCell="A2">
      <selection activeCell="K20" sqref="K20"/>
      <pageMargins left="0.70866141732283472" right="0.70866141732283472" top="0.74803149606299213" bottom="0.74803149606299213" header="0.31496062992125984" footer="0.31496062992125984"/>
      <pageSetup paperSize="8" scale="63" orientation="landscape" r:id="rId4"/>
      <headerFooter>
        <oddHeader>&amp;LWojewództ&amp;K000000wo Opolskie</oddHeader>
      </headerFooter>
    </customSheetView>
  </customSheetViews>
  <mergeCells count="7">
    <mergeCell ref="F2:N6"/>
    <mergeCell ref="F7:N7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8" scale="63" orientation="landscape" r:id="rId5"/>
  <headerFooter>
    <oddHeader>&amp;LWojewództ&amp;K000000wo Opolskie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9"/>
  <sheetViews>
    <sheetView showGridLines="0" view="pageBreakPreview" topLeftCell="F1" zoomScale="85" zoomScaleNormal="90" zoomScaleSheetLayoutView="85" workbookViewId="0">
      <selection activeCell="L5" sqref="L5"/>
    </sheetView>
  </sheetViews>
  <sheetFormatPr defaultColWidth="9.28515625" defaultRowHeight="15" x14ac:dyDescent="0.25"/>
  <cols>
    <col min="1" max="1" width="7.28515625" style="3" customWidth="1"/>
    <col min="2" max="2" width="15.7109375" style="3" customWidth="1"/>
    <col min="3" max="3" width="11.28515625" style="3" customWidth="1"/>
    <col min="4" max="4" width="15.7109375" style="3" customWidth="1"/>
    <col min="5" max="5" width="8.7109375" style="3" customWidth="1"/>
    <col min="6" max="6" width="41" style="3" customWidth="1"/>
    <col min="7" max="7" width="11.28515625" style="3" customWidth="1"/>
    <col min="8" max="8" width="10.28515625" style="3" customWidth="1"/>
    <col min="9" max="9" width="15.7109375" style="3" customWidth="1"/>
    <col min="10" max="10" width="15.7109375" style="4" customWidth="1"/>
    <col min="11" max="11" width="17.42578125" style="3" customWidth="1"/>
    <col min="12" max="12" width="15.7109375" style="3" customWidth="1"/>
    <col min="13" max="13" width="13" style="1" customWidth="1"/>
    <col min="14" max="17" width="12" style="3" customWidth="1"/>
    <col min="18" max="18" width="12.140625" style="3" customWidth="1"/>
    <col min="19" max="19" width="15.7109375" style="3" customWidth="1"/>
    <col min="20" max="20" width="14.85546875" style="3" customWidth="1"/>
    <col min="21" max="25" width="11.28515625" style="3" customWidth="1"/>
    <col min="26" max="26" width="15.7109375" style="43" customWidth="1"/>
    <col min="27" max="28" width="15.7109375" style="1" customWidth="1"/>
    <col min="29" max="29" width="15.7109375" style="43" customWidth="1"/>
    <col min="30" max="16384" width="9.28515625" style="3"/>
  </cols>
  <sheetData>
    <row r="1" spans="1:29" ht="20.100000000000001" customHeight="1" x14ac:dyDescent="0.25">
      <c r="A1" s="301" t="s">
        <v>4</v>
      </c>
      <c r="B1" s="301" t="s">
        <v>5</v>
      </c>
      <c r="C1" s="302" t="s">
        <v>44</v>
      </c>
      <c r="D1" s="297" t="s">
        <v>6</v>
      </c>
      <c r="E1" s="297" t="s">
        <v>33</v>
      </c>
      <c r="F1" s="297" t="s">
        <v>7</v>
      </c>
      <c r="G1" s="301" t="s">
        <v>27</v>
      </c>
      <c r="H1" s="301" t="s">
        <v>8</v>
      </c>
      <c r="I1" s="301" t="s">
        <v>24</v>
      </c>
      <c r="J1" s="301" t="s">
        <v>9</v>
      </c>
      <c r="K1" s="301" t="s">
        <v>16</v>
      </c>
      <c r="L1" s="297" t="s">
        <v>13</v>
      </c>
      <c r="M1" s="301" t="s">
        <v>11</v>
      </c>
      <c r="N1" s="304" t="s">
        <v>12</v>
      </c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1"/>
    </row>
    <row r="2" spans="1:29" ht="36.75" customHeight="1" x14ac:dyDescent="0.25">
      <c r="A2" s="301"/>
      <c r="B2" s="301"/>
      <c r="C2" s="303"/>
      <c r="D2" s="298"/>
      <c r="E2" s="298"/>
      <c r="F2" s="298"/>
      <c r="G2" s="301"/>
      <c r="H2" s="301"/>
      <c r="I2" s="301"/>
      <c r="J2" s="301"/>
      <c r="K2" s="301"/>
      <c r="L2" s="298"/>
      <c r="M2" s="301"/>
      <c r="N2" s="229">
        <v>2019</v>
      </c>
      <c r="O2" s="229">
        <v>2020</v>
      </c>
      <c r="P2" s="229">
        <v>2021</v>
      </c>
      <c r="Q2" s="229">
        <v>2022</v>
      </c>
      <c r="R2" s="229">
        <v>2023</v>
      </c>
      <c r="S2" s="229">
        <v>2024</v>
      </c>
      <c r="T2" s="229">
        <v>2025</v>
      </c>
      <c r="U2" s="229">
        <v>2026</v>
      </c>
      <c r="V2" s="229">
        <v>2027</v>
      </c>
      <c r="W2" s="229">
        <v>2028</v>
      </c>
      <c r="X2" s="229">
        <v>2029</v>
      </c>
      <c r="Y2" s="229">
        <v>2030</v>
      </c>
      <c r="Z2" s="1" t="s">
        <v>29</v>
      </c>
      <c r="AA2" s="1" t="s">
        <v>30</v>
      </c>
      <c r="AB2" s="1" t="s">
        <v>31</v>
      </c>
      <c r="AC2" s="44" t="s">
        <v>32</v>
      </c>
    </row>
    <row r="3" spans="1:29" s="4" customFormat="1" ht="30" customHeight="1" x14ac:dyDescent="0.25">
      <c r="A3" s="201">
        <v>1</v>
      </c>
      <c r="B3" s="193" t="s">
        <v>49</v>
      </c>
      <c r="C3" s="193" t="s">
        <v>50</v>
      </c>
      <c r="D3" s="194" t="s">
        <v>51</v>
      </c>
      <c r="E3" s="194">
        <v>1606</v>
      </c>
      <c r="F3" s="193" t="s">
        <v>52</v>
      </c>
      <c r="G3" s="193" t="s">
        <v>53</v>
      </c>
      <c r="H3" s="195">
        <v>1.05</v>
      </c>
      <c r="I3" s="193" t="s">
        <v>282</v>
      </c>
      <c r="J3" s="196">
        <v>734327.14</v>
      </c>
      <c r="K3" s="49">
        <f>ROUNDDOWN(J3*M3,2)</f>
        <v>367163.57</v>
      </c>
      <c r="L3" s="52">
        <f>J3-K3</f>
        <v>367163.57</v>
      </c>
      <c r="M3" s="245">
        <v>0.5</v>
      </c>
      <c r="N3" s="226">
        <v>0</v>
      </c>
      <c r="O3" s="226">
        <v>0</v>
      </c>
      <c r="P3" s="227">
        <v>0</v>
      </c>
      <c r="Q3" s="227">
        <v>0</v>
      </c>
      <c r="R3" s="227">
        <v>0</v>
      </c>
      <c r="S3" s="228">
        <f>K3</f>
        <v>367163.57</v>
      </c>
      <c r="T3" s="227">
        <v>0</v>
      </c>
      <c r="U3" s="227">
        <v>0</v>
      </c>
      <c r="V3" s="227">
        <v>0</v>
      </c>
      <c r="W3" s="227">
        <v>0</v>
      </c>
      <c r="X3" s="227">
        <v>0</v>
      </c>
      <c r="Y3" s="227">
        <v>0</v>
      </c>
      <c r="Z3" s="246" t="b">
        <f>K3=SUM(N3:Y3)</f>
        <v>1</v>
      </c>
      <c r="AA3" s="247">
        <f t="shared" ref="AA3" si="0">ROUND(K3/J3,4)</f>
        <v>0.5</v>
      </c>
      <c r="AB3" s="248" t="b">
        <f t="shared" ref="AB3" si="1">AA3=M3</f>
        <v>1</v>
      </c>
      <c r="AC3" s="248" t="b">
        <f>J3=K3+L3</f>
        <v>1</v>
      </c>
    </row>
    <row r="4" spans="1:29" s="4" customFormat="1" ht="30" customHeight="1" x14ac:dyDescent="0.25">
      <c r="A4" s="201">
        <v>2</v>
      </c>
      <c r="B4" s="193" t="s">
        <v>55</v>
      </c>
      <c r="C4" s="194"/>
      <c r="D4" s="193" t="s">
        <v>56</v>
      </c>
      <c r="E4" s="193">
        <v>1607</v>
      </c>
      <c r="F4" s="193" t="s">
        <v>57</v>
      </c>
      <c r="G4" s="193" t="s">
        <v>58</v>
      </c>
      <c r="H4" s="195"/>
      <c r="I4" s="197" t="s">
        <v>279</v>
      </c>
      <c r="J4" s="196"/>
      <c r="K4" s="49"/>
      <c r="L4" s="52"/>
      <c r="M4" s="245">
        <v>0.5</v>
      </c>
      <c r="N4" s="226"/>
      <c r="O4" s="226"/>
      <c r="P4" s="227"/>
      <c r="Q4" s="227"/>
      <c r="R4" s="227"/>
      <c r="S4" s="228"/>
      <c r="T4" s="227"/>
      <c r="U4" s="227"/>
      <c r="V4" s="227"/>
      <c r="W4" s="227"/>
      <c r="X4" s="227"/>
      <c r="Y4" s="227"/>
      <c r="Z4" s="246" t="b">
        <f t="shared" ref="Z4:Z14" si="2">K4=SUM(N4:Y4)</f>
        <v>1</v>
      </c>
      <c r="AA4" s="247" t="e">
        <f t="shared" ref="AA4:AA13" si="3">ROUND(K4/J4,4)</f>
        <v>#DIV/0!</v>
      </c>
      <c r="AB4" s="248" t="e">
        <f t="shared" ref="AB4:AB10" si="4">AA4=M4</f>
        <v>#DIV/0!</v>
      </c>
      <c r="AC4" s="248" t="b">
        <f t="shared" ref="AC4:AC13" si="5">J4=K4+L4</f>
        <v>1</v>
      </c>
    </row>
    <row r="5" spans="1:29" s="242" customFormat="1" ht="30" customHeight="1" x14ac:dyDescent="0.25">
      <c r="A5" s="251">
        <v>3</v>
      </c>
      <c r="B5" s="198" t="s">
        <v>59</v>
      </c>
      <c r="C5" s="252" t="s">
        <v>60</v>
      </c>
      <c r="D5" s="198" t="s">
        <v>61</v>
      </c>
      <c r="E5" s="198">
        <v>1604</v>
      </c>
      <c r="F5" s="198" t="s">
        <v>62</v>
      </c>
      <c r="G5" s="198" t="s">
        <v>53</v>
      </c>
      <c r="H5" s="199">
        <v>3.47</v>
      </c>
      <c r="I5" s="200" t="s">
        <v>291</v>
      </c>
      <c r="J5" s="200">
        <v>2869817.78</v>
      </c>
      <c r="K5" s="249">
        <f t="shared" ref="K5:K9" si="6">ROUNDDOWN(J5*M5,2)</f>
        <v>2295854.2200000002</v>
      </c>
      <c r="L5" s="204">
        <f t="shared" ref="L5:L9" si="7">J5-K5</f>
        <v>573963.55999999959</v>
      </c>
      <c r="M5" s="202">
        <v>0.8</v>
      </c>
      <c r="N5" s="225">
        <v>0</v>
      </c>
      <c r="O5" s="225">
        <v>0</v>
      </c>
      <c r="P5" s="253">
        <v>0</v>
      </c>
      <c r="Q5" s="253">
        <v>0</v>
      </c>
      <c r="R5" s="253">
        <v>0</v>
      </c>
      <c r="S5" s="254">
        <v>862380.24</v>
      </c>
      <c r="T5" s="255">
        <v>1433473.98</v>
      </c>
      <c r="U5" s="253">
        <v>0</v>
      </c>
      <c r="V5" s="253">
        <v>0</v>
      </c>
      <c r="W5" s="253">
        <v>0</v>
      </c>
      <c r="X5" s="253">
        <v>0</v>
      </c>
      <c r="Y5" s="253">
        <v>0</v>
      </c>
      <c r="Z5" s="239" t="b">
        <f t="shared" si="2"/>
        <v>1</v>
      </c>
      <c r="AA5" s="240">
        <f t="shared" si="3"/>
        <v>0.8</v>
      </c>
      <c r="AB5" s="241" t="b">
        <f t="shared" si="4"/>
        <v>1</v>
      </c>
      <c r="AC5" s="241" t="b">
        <f t="shared" si="5"/>
        <v>1</v>
      </c>
    </row>
    <row r="6" spans="1:29" s="4" customFormat="1" ht="42" customHeight="1" x14ac:dyDescent="0.25">
      <c r="A6" s="201">
        <v>4</v>
      </c>
      <c r="B6" s="193" t="s">
        <v>63</v>
      </c>
      <c r="C6" s="194" t="s">
        <v>50</v>
      </c>
      <c r="D6" s="193" t="s">
        <v>64</v>
      </c>
      <c r="E6" s="193">
        <v>1611</v>
      </c>
      <c r="F6" s="193" t="s">
        <v>65</v>
      </c>
      <c r="G6" s="193" t="s">
        <v>66</v>
      </c>
      <c r="H6" s="195">
        <v>0.15</v>
      </c>
      <c r="I6" s="197" t="s">
        <v>263</v>
      </c>
      <c r="J6" s="196">
        <v>2298367.4500000002</v>
      </c>
      <c r="K6" s="49">
        <f t="shared" si="6"/>
        <v>1149183.72</v>
      </c>
      <c r="L6" s="52">
        <f t="shared" si="7"/>
        <v>1149183.7300000002</v>
      </c>
      <c r="M6" s="245">
        <v>0.5</v>
      </c>
      <c r="N6" s="226">
        <v>0</v>
      </c>
      <c r="O6" s="226">
        <v>0</v>
      </c>
      <c r="P6" s="227">
        <v>0</v>
      </c>
      <c r="Q6" s="227">
        <v>0</v>
      </c>
      <c r="R6" s="227">
        <v>0</v>
      </c>
      <c r="S6" s="228">
        <f t="shared" ref="S6:S10" si="8">K6</f>
        <v>1149183.72</v>
      </c>
      <c r="T6" s="227">
        <v>0</v>
      </c>
      <c r="U6" s="227">
        <v>0</v>
      </c>
      <c r="V6" s="227">
        <v>0</v>
      </c>
      <c r="W6" s="227">
        <v>0</v>
      </c>
      <c r="X6" s="227">
        <v>0</v>
      </c>
      <c r="Y6" s="227">
        <v>0</v>
      </c>
      <c r="Z6" s="246" t="b">
        <f t="shared" si="2"/>
        <v>1</v>
      </c>
      <c r="AA6" s="247">
        <f t="shared" si="3"/>
        <v>0.5</v>
      </c>
      <c r="AB6" s="248" t="b">
        <f t="shared" si="4"/>
        <v>1</v>
      </c>
      <c r="AC6" s="248" t="b">
        <f t="shared" si="5"/>
        <v>1</v>
      </c>
    </row>
    <row r="7" spans="1:29" s="4" customFormat="1" ht="30" customHeight="1" x14ac:dyDescent="0.25">
      <c r="A7" s="201">
        <v>5</v>
      </c>
      <c r="B7" s="193" t="s">
        <v>67</v>
      </c>
      <c r="C7" s="194" t="s">
        <v>50</v>
      </c>
      <c r="D7" s="193" t="s">
        <v>68</v>
      </c>
      <c r="E7" s="193">
        <v>1605</v>
      </c>
      <c r="F7" s="193" t="s">
        <v>69</v>
      </c>
      <c r="G7" s="193" t="s">
        <v>66</v>
      </c>
      <c r="H7" s="195">
        <v>0.10299999999999999</v>
      </c>
      <c r="I7" s="197" t="s">
        <v>301</v>
      </c>
      <c r="J7" s="196">
        <v>427210.4</v>
      </c>
      <c r="K7" s="49">
        <v>209901.35</v>
      </c>
      <c r="L7" s="52">
        <f t="shared" si="7"/>
        <v>217309.05000000002</v>
      </c>
      <c r="M7" s="250">
        <v>0.49130000000000001</v>
      </c>
      <c r="N7" s="226">
        <v>0</v>
      </c>
      <c r="O7" s="226">
        <v>0</v>
      </c>
      <c r="P7" s="227">
        <v>0</v>
      </c>
      <c r="Q7" s="227">
        <v>0</v>
      </c>
      <c r="R7" s="227">
        <v>0</v>
      </c>
      <c r="S7" s="228">
        <f t="shared" si="8"/>
        <v>209901.35</v>
      </c>
      <c r="T7" s="227">
        <v>0</v>
      </c>
      <c r="U7" s="227">
        <v>0</v>
      </c>
      <c r="V7" s="227">
        <v>0</v>
      </c>
      <c r="W7" s="227">
        <v>0</v>
      </c>
      <c r="X7" s="227">
        <v>0</v>
      </c>
      <c r="Y7" s="227">
        <v>0</v>
      </c>
      <c r="Z7" s="246" t="b">
        <f t="shared" si="2"/>
        <v>1</v>
      </c>
      <c r="AA7" s="247">
        <f t="shared" si="3"/>
        <v>0.49130000000000001</v>
      </c>
      <c r="AB7" s="248" t="b">
        <f t="shared" si="4"/>
        <v>1</v>
      </c>
      <c r="AC7" s="248" t="b">
        <f t="shared" si="5"/>
        <v>1</v>
      </c>
    </row>
    <row r="8" spans="1:29" s="4" customFormat="1" ht="30" customHeight="1" x14ac:dyDescent="0.25">
      <c r="A8" s="201">
        <v>6</v>
      </c>
      <c r="B8" s="193" t="s">
        <v>70</v>
      </c>
      <c r="C8" s="194" t="s">
        <v>50</v>
      </c>
      <c r="D8" s="193" t="s">
        <v>68</v>
      </c>
      <c r="E8" s="256">
        <v>1605</v>
      </c>
      <c r="F8" s="257" t="s">
        <v>71</v>
      </c>
      <c r="G8" s="193" t="s">
        <v>66</v>
      </c>
      <c r="H8" s="195">
        <v>0.47699999999999998</v>
      </c>
      <c r="I8" s="197" t="s">
        <v>293</v>
      </c>
      <c r="J8" s="196">
        <v>2838983.41</v>
      </c>
      <c r="K8" s="49">
        <f t="shared" si="6"/>
        <v>2271186.7200000002</v>
      </c>
      <c r="L8" s="52">
        <f t="shared" si="7"/>
        <v>567796.68999999994</v>
      </c>
      <c r="M8" s="245">
        <v>0.8</v>
      </c>
      <c r="N8" s="226">
        <v>0</v>
      </c>
      <c r="O8" s="226">
        <v>0</v>
      </c>
      <c r="P8" s="227">
        <v>0</v>
      </c>
      <c r="Q8" s="227">
        <v>0</v>
      </c>
      <c r="R8" s="227">
        <v>0</v>
      </c>
      <c r="S8" s="228">
        <f t="shared" si="8"/>
        <v>2271186.7200000002</v>
      </c>
      <c r="T8" s="227">
        <v>0</v>
      </c>
      <c r="U8" s="227">
        <v>0</v>
      </c>
      <c r="V8" s="227">
        <v>0</v>
      </c>
      <c r="W8" s="227">
        <v>0</v>
      </c>
      <c r="X8" s="227">
        <v>0</v>
      </c>
      <c r="Y8" s="227">
        <v>0</v>
      </c>
      <c r="Z8" s="246" t="b">
        <f t="shared" si="2"/>
        <v>1</v>
      </c>
      <c r="AA8" s="247">
        <f t="shared" si="3"/>
        <v>0.8</v>
      </c>
      <c r="AB8" s="248" t="b">
        <f t="shared" si="4"/>
        <v>1</v>
      </c>
      <c r="AC8" s="248" t="b">
        <f t="shared" si="5"/>
        <v>1</v>
      </c>
    </row>
    <row r="9" spans="1:29" s="4" customFormat="1" ht="30" customHeight="1" x14ac:dyDescent="0.25">
      <c r="A9" s="201">
        <v>7</v>
      </c>
      <c r="B9" s="193" t="s">
        <v>73</v>
      </c>
      <c r="C9" s="194" t="s">
        <v>50</v>
      </c>
      <c r="D9" s="193" t="s">
        <v>68</v>
      </c>
      <c r="E9" s="193">
        <v>1605</v>
      </c>
      <c r="F9" s="193" t="s">
        <v>74</v>
      </c>
      <c r="G9" s="193" t="s">
        <v>53</v>
      </c>
      <c r="H9" s="195">
        <v>1.5349999999999999</v>
      </c>
      <c r="I9" s="197" t="s">
        <v>300</v>
      </c>
      <c r="J9" s="196">
        <v>1314827.93</v>
      </c>
      <c r="K9" s="49">
        <f t="shared" si="6"/>
        <v>657413.96</v>
      </c>
      <c r="L9" s="52">
        <f t="shared" si="7"/>
        <v>657413.97</v>
      </c>
      <c r="M9" s="245">
        <v>0.5</v>
      </c>
      <c r="N9" s="226">
        <v>0</v>
      </c>
      <c r="O9" s="226">
        <v>0</v>
      </c>
      <c r="P9" s="227">
        <v>0</v>
      </c>
      <c r="Q9" s="227">
        <v>0</v>
      </c>
      <c r="R9" s="227">
        <v>0</v>
      </c>
      <c r="S9" s="228">
        <f t="shared" si="8"/>
        <v>657413.96</v>
      </c>
      <c r="T9" s="227">
        <v>0</v>
      </c>
      <c r="U9" s="227">
        <v>0</v>
      </c>
      <c r="V9" s="227">
        <v>0</v>
      </c>
      <c r="W9" s="227">
        <v>0</v>
      </c>
      <c r="X9" s="227">
        <v>0</v>
      </c>
      <c r="Y9" s="227">
        <v>0</v>
      </c>
      <c r="Z9" s="246" t="b">
        <f t="shared" si="2"/>
        <v>1</v>
      </c>
      <c r="AA9" s="247">
        <f t="shared" si="3"/>
        <v>0.5</v>
      </c>
      <c r="AB9" s="248" t="b">
        <f t="shared" si="4"/>
        <v>1</v>
      </c>
      <c r="AC9" s="248" t="b">
        <f t="shared" si="5"/>
        <v>1</v>
      </c>
    </row>
    <row r="10" spans="1:29" s="4" customFormat="1" ht="30" customHeight="1" x14ac:dyDescent="0.25">
      <c r="A10" s="201">
        <v>8</v>
      </c>
      <c r="B10" s="193" t="s">
        <v>75</v>
      </c>
      <c r="C10" s="194" t="s">
        <v>50</v>
      </c>
      <c r="D10" s="193" t="s">
        <v>76</v>
      </c>
      <c r="E10" s="193">
        <v>1602</v>
      </c>
      <c r="F10" s="193" t="s">
        <v>77</v>
      </c>
      <c r="G10" s="193" t="s">
        <v>58</v>
      </c>
      <c r="H10" s="195">
        <v>3.9020000000000001</v>
      </c>
      <c r="I10" s="197" t="s">
        <v>285</v>
      </c>
      <c r="J10" s="196">
        <v>8717478.3599999994</v>
      </c>
      <c r="K10" s="49">
        <f>ROUNDDOWN(J10*M10,2)</f>
        <v>4358739.18</v>
      </c>
      <c r="L10" s="52">
        <f>J10-K10</f>
        <v>4358739.18</v>
      </c>
      <c r="M10" s="245">
        <v>0.5</v>
      </c>
      <c r="N10" s="226">
        <v>0</v>
      </c>
      <c r="O10" s="226">
        <v>0</v>
      </c>
      <c r="P10" s="227">
        <v>0</v>
      </c>
      <c r="Q10" s="227">
        <v>0</v>
      </c>
      <c r="R10" s="227">
        <v>0</v>
      </c>
      <c r="S10" s="228">
        <f t="shared" si="8"/>
        <v>4358739.18</v>
      </c>
      <c r="T10" s="227">
        <v>0</v>
      </c>
      <c r="U10" s="227">
        <v>0</v>
      </c>
      <c r="V10" s="227">
        <v>0</v>
      </c>
      <c r="W10" s="227">
        <v>0</v>
      </c>
      <c r="X10" s="227">
        <v>0</v>
      </c>
      <c r="Y10" s="227">
        <v>0</v>
      </c>
      <c r="Z10" s="246" t="b">
        <f t="shared" si="2"/>
        <v>1</v>
      </c>
      <c r="AA10" s="247">
        <f t="shared" si="3"/>
        <v>0.5</v>
      </c>
      <c r="AB10" s="248" t="b">
        <f t="shared" si="4"/>
        <v>1</v>
      </c>
      <c r="AC10" s="248" t="b">
        <f t="shared" si="5"/>
        <v>1</v>
      </c>
    </row>
    <row r="11" spans="1:29" ht="20.100000000000001" customHeight="1" x14ac:dyDescent="0.25">
      <c r="A11" s="300" t="s">
        <v>45</v>
      </c>
      <c r="B11" s="300"/>
      <c r="C11" s="300"/>
      <c r="D11" s="300"/>
      <c r="E11" s="300"/>
      <c r="F11" s="300"/>
      <c r="G11" s="300"/>
      <c r="H11" s="63">
        <f>SUM(H3:H10)</f>
        <v>10.687000000000001</v>
      </c>
      <c r="I11" s="64" t="s">
        <v>14</v>
      </c>
      <c r="J11" s="65">
        <f>SUM(J3:J10)</f>
        <v>19201012.469999999</v>
      </c>
      <c r="K11" s="65">
        <f>SUM(K3:K10)</f>
        <v>11309442.719999999</v>
      </c>
      <c r="L11" s="65">
        <f>SUM(L3:L10)</f>
        <v>7891569.7499999991</v>
      </c>
      <c r="M11" s="67" t="s">
        <v>14</v>
      </c>
      <c r="N11" s="66">
        <f t="shared" ref="N11:Y11" si="9">SUM(N3:N10)</f>
        <v>0</v>
      </c>
      <c r="O11" s="66">
        <f t="shared" si="9"/>
        <v>0</v>
      </c>
      <c r="P11" s="68">
        <f t="shared" si="9"/>
        <v>0</v>
      </c>
      <c r="Q11" s="68">
        <f t="shared" si="9"/>
        <v>0</v>
      </c>
      <c r="R11" s="68">
        <f t="shared" si="9"/>
        <v>0</v>
      </c>
      <c r="S11" s="68">
        <f t="shared" si="9"/>
        <v>9875968.7400000002</v>
      </c>
      <c r="T11" s="68">
        <f t="shared" si="9"/>
        <v>1433473.98</v>
      </c>
      <c r="U11" s="68">
        <f t="shared" si="9"/>
        <v>0</v>
      </c>
      <c r="V11" s="68">
        <f t="shared" si="9"/>
        <v>0</v>
      </c>
      <c r="W11" s="68">
        <f t="shared" si="9"/>
        <v>0</v>
      </c>
      <c r="X11" s="68">
        <f t="shared" si="9"/>
        <v>0</v>
      </c>
      <c r="Y11" s="68">
        <f t="shared" si="9"/>
        <v>0</v>
      </c>
      <c r="Z11" s="1" t="b">
        <f t="shared" si="2"/>
        <v>1</v>
      </c>
      <c r="AA11" s="45">
        <f t="shared" si="3"/>
        <v>0.58899999999999997</v>
      </c>
      <c r="AB11" s="46" t="s">
        <v>14</v>
      </c>
      <c r="AC11" s="46" t="b">
        <f t="shared" si="5"/>
        <v>1</v>
      </c>
    </row>
    <row r="12" spans="1:29" ht="20.100000000000001" customHeight="1" x14ac:dyDescent="0.25">
      <c r="A12" s="299" t="s">
        <v>38</v>
      </c>
      <c r="B12" s="299"/>
      <c r="C12" s="299"/>
      <c r="D12" s="299"/>
      <c r="E12" s="299"/>
      <c r="F12" s="299"/>
      <c r="G12" s="299"/>
      <c r="H12" s="69">
        <f>SUMIF($C$3:$C$10,"K",H3:H10)</f>
        <v>0</v>
      </c>
      <c r="I12" s="70" t="s">
        <v>14</v>
      </c>
      <c r="J12" s="71">
        <f>SUMIF($C$3:$C$10,"K",J3:J10)</f>
        <v>0</v>
      </c>
      <c r="K12" s="71">
        <f>SUMIF($C$3:$C$10,"K",K3:K10)</f>
        <v>0</v>
      </c>
      <c r="L12" s="71">
        <f>SUMIF($C$3:$C$10,"K",L3:L10)</f>
        <v>0</v>
      </c>
      <c r="M12" s="73" t="s">
        <v>14</v>
      </c>
      <c r="N12" s="72">
        <f t="shared" ref="N12:Y12" si="10">SUMIF($C$3:$C$10,"K",N3:N10)</f>
        <v>0</v>
      </c>
      <c r="O12" s="72">
        <f t="shared" si="10"/>
        <v>0</v>
      </c>
      <c r="P12" s="74">
        <f t="shared" si="10"/>
        <v>0</v>
      </c>
      <c r="Q12" s="74">
        <f t="shared" si="10"/>
        <v>0</v>
      </c>
      <c r="R12" s="74">
        <f t="shared" si="10"/>
        <v>0</v>
      </c>
      <c r="S12" s="74">
        <f t="shared" si="10"/>
        <v>0</v>
      </c>
      <c r="T12" s="74">
        <f t="shared" si="10"/>
        <v>0</v>
      </c>
      <c r="U12" s="74">
        <f t="shared" si="10"/>
        <v>0</v>
      </c>
      <c r="V12" s="74">
        <f t="shared" si="10"/>
        <v>0</v>
      </c>
      <c r="W12" s="74">
        <f t="shared" si="10"/>
        <v>0</v>
      </c>
      <c r="X12" s="74">
        <f t="shared" si="10"/>
        <v>0</v>
      </c>
      <c r="Y12" s="74">
        <f t="shared" si="10"/>
        <v>0</v>
      </c>
      <c r="Z12" s="1" t="b">
        <f t="shared" si="2"/>
        <v>1</v>
      </c>
      <c r="AA12" s="45" t="e">
        <f t="shared" ref="AA12" si="11">ROUND(K12/J12,4)</f>
        <v>#DIV/0!</v>
      </c>
      <c r="AB12" s="46" t="s">
        <v>14</v>
      </c>
      <c r="AC12" s="46" t="b">
        <f t="shared" ref="AC12" si="12">J12=K12+L12</f>
        <v>1</v>
      </c>
    </row>
    <row r="13" spans="1:29" ht="20.100000000000001" customHeight="1" x14ac:dyDescent="0.25">
      <c r="A13" s="300" t="s">
        <v>39</v>
      </c>
      <c r="B13" s="300"/>
      <c r="C13" s="300"/>
      <c r="D13" s="300"/>
      <c r="E13" s="300"/>
      <c r="F13" s="300"/>
      <c r="G13" s="300"/>
      <c r="H13" s="63">
        <f>SUMIF($C$3:$C$10,"N",H3:H10)</f>
        <v>7.2169999999999996</v>
      </c>
      <c r="I13" s="64" t="s">
        <v>14</v>
      </c>
      <c r="J13" s="65">
        <f>SUMIF($C$3:$C$10,"N",J3:J10)</f>
        <v>16331194.689999999</v>
      </c>
      <c r="K13" s="65">
        <f>SUMIF($C$3:$C$10,"N",K3:K10)</f>
        <v>9013588.5</v>
      </c>
      <c r="L13" s="65">
        <f>SUMIF($C$3:$C$10,"N",L3:L10)</f>
        <v>7317606.1899999995</v>
      </c>
      <c r="M13" s="67" t="s">
        <v>14</v>
      </c>
      <c r="N13" s="66">
        <f t="shared" ref="N13:Y13" si="13">SUMIF($C$3:$C$10,"N",N3:N10)</f>
        <v>0</v>
      </c>
      <c r="O13" s="66">
        <f t="shared" si="13"/>
        <v>0</v>
      </c>
      <c r="P13" s="68">
        <f t="shared" si="13"/>
        <v>0</v>
      </c>
      <c r="Q13" s="68">
        <f t="shared" si="13"/>
        <v>0</v>
      </c>
      <c r="R13" s="68">
        <f t="shared" si="13"/>
        <v>0</v>
      </c>
      <c r="S13" s="68">
        <f t="shared" si="13"/>
        <v>9013588.5</v>
      </c>
      <c r="T13" s="68">
        <f t="shared" si="13"/>
        <v>0</v>
      </c>
      <c r="U13" s="68">
        <f t="shared" si="13"/>
        <v>0</v>
      </c>
      <c r="V13" s="68">
        <f t="shared" si="13"/>
        <v>0</v>
      </c>
      <c r="W13" s="68">
        <f t="shared" si="13"/>
        <v>0</v>
      </c>
      <c r="X13" s="68">
        <f t="shared" si="13"/>
        <v>0</v>
      </c>
      <c r="Y13" s="68">
        <f t="shared" si="13"/>
        <v>0</v>
      </c>
      <c r="Z13" s="1" t="b">
        <f t="shared" si="2"/>
        <v>1</v>
      </c>
      <c r="AA13" s="45">
        <f t="shared" si="3"/>
        <v>0.55189999999999995</v>
      </c>
      <c r="AB13" s="46" t="s">
        <v>14</v>
      </c>
      <c r="AC13" s="46" t="b">
        <f t="shared" si="5"/>
        <v>1</v>
      </c>
    </row>
    <row r="14" spans="1:29" ht="20.100000000000001" customHeight="1" x14ac:dyDescent="0.25">
      <c r="A14" s="299" t="s">
        <v>40</v>
      </c>
      <c r="B14" s="299"/>
      <c r="C14" s="299"/>
      <c r="D14" s="299"/>
      <c r="E14" s="299"/>
      <c r="F14" s="299"/>
      <c r="G14" s="299"/>
      <c r="H14" s="69">
        <f>SUMIF($C$3:$C$10,"W",H3:H10)</f>
        <v>3.47</v>
      </c>
      <c r="I14" s="70" t="s">
        <v>14</v>
      </c>
      <c r="J14" s="71">
        <f>SUMIF($C$3:$C$10,"W",J3:J10)</f>
        <v>2869817.78</v>
      </c>
      <c r="K14" s="72">
        <f>SUMIF($C$3:$C$10,"W",K3:K10)</f>
        <v>2295854.2200000002</v>
      </c>
      <c r="L14" s="72">
        <f>SUMIF($C$3:$C$10,"W",L3:L10)</f>
        <v>573963.55999999959</v>
      </c>
      <c r="M14" s="73" t="s">
        <v>14</v>
      </c>
      <c r="N14" s="72">
        <f t="shared" ref="N14:Y14" si="14">SUMIF($C$3:$C$10,"W",N3:N10)</f>
        <v>0</v>
      </c>
      <c r="O14" s="72">
        <f t="shared" si="14"/>
        <v>0</v>
      </c>
      <c r="P14" s="74">
        <f t="shared" si="14"/>
        <v>0</v>
      </c>
      <c r="Q14" s="74">
        <f t="shared" si="14"/>
        <v>0</v>
      </c>
      <c r="R14" s="74">
        <f t="shared" si="14"/>
        <v>0</v>
      </c>
      <c r="S14" s="74">
        <f t="shared" si="14"/>
        <v>862380.24</v>
      </c>
      <c r="T14" s="74">
        <f t="shared" si="14"/>
        <v>1433473.98</v>
      </c>
      <c r="U14" s="74">
        <f t="shared" si="14"/>
        <v>0</v>
      </c>
      <c r="V14" s="74">
        <f t="shared" si="14"/>
        <v>0</v>
      </c>
      <c r="W14" s="74">
        <f t="shared" si="14"/>
        <v>0</v>
      </c>
      <c r="X14" s="74">
        <f t="shared" si="14"/>
        <v>0</v>
      </c>
      <c r="Y14" s="74">
        <f t="shared" si="14"/>
        <v>0</v>
      </c>
      <c r="Z14" s="1" t="b">
        <f t="shared" si="2"/>
        <v>1</v>
      </c>
      <c r="AA14" s="45">
        <f t="shared" ref="AA14" si="15">ROUND(K14/J14,4)</f>
        <v>0.8</v>
      </c>
      <c r="AB14" s="46" t="s">
        <v>14</v>
      </c>
      <c r="AC14" s="46" t="b">
        <f t="shared" ref="AC14" si="16">J14=K14+L14</f>
        <v>1</v>
      </c>
    </row>
    <row r="15" spans="1:29" x14ac:dyDescent="0.25">
      <c r="A15" s="35"/>
      <c r="B15" s="35"/>
      <c r="C15" s="35"/>
      <c r="D15" s="35"/>
      <c r="E15" s="35"/>
      <c r="F15" s="35"/>
      <c r="G15" s="35"/>
      <c r="K15" s="231"/>
    </row>
    <row r="16" spans="1:29" x14ac:dyDescent="0.25">
      <c r="A16" s="33" t="s">
        <v>25</v>
      </c>
      <c r="B16" s="33"/>
      <c r="C16" s="33"/>
      <c r="D16" s="33"/>
      <c r="E16" s="33"/>
      <c r="F16" s="33"/>
      <c r="G16" s="33"/>
      <c r="H16" s="14"/>
      <c r="I16" s="14"/>
      <c r="J16" s="6"/>
      <c r="K16" s="14"/>
      <c r="L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"/>
      <c r="AC16" s="46"/>
    </row>
    <row r="17" spans="1:26" x14ac:dyDescent="0.25">
      <c r="A17" s="34" t="s">
        <v>26</v>
      </c>
      <c r="B17" s="34"/>
      <c r="C17" s="34"/>
      <c r="D17" s="34"/>
      <c r="E17" s="34"/>
      <c r="F17" s="34"/>
      <c r="G17" s="34"/>
      <c r="H17" s="14"/>
      <c r="I17" s="14"/>
      <c r="J17" s="30"/>
      <c r="K17" s="14"/>
      <c r="L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"/>
    </row>
    <row r="18" spans="1:26" x14ac:dyDescent="0.25">
      <c r="A18" s="33" t="s">
        <v>43</v>
      </c>
      <c r="B18" s="35"/>
      <c r="C18" s="35"/>
      <c r="D18" s="35"/>
      <c r="E18" s="35"/>
      <c r="F18" s="35"/>
      <c r="G18" s="35"/>
      <c r="J18" s="29"/>
    </row>
    <row r="19" spans="1:26" x14ac:dyDescent="0.25">
      <c r="A19" s="36" t="s">
        <v>47</v>
      </c>
      <c r="B19" s="36"/>
      <c r="C19" s="36"/>
      <c r="D19" s="36"/>
      <c r="E19" s="36"/>
      <c r="F19" s="36"/>
      <c r="G19" s="36"/>
      <c r="J19" s="29"/>
    </row>
  </sheetData>
  <customSheetViews>
    <customSheetView guid="{B4405FF1-036B-45AD-810F-8C9DF67F9D7F}" scale="90" showGridLines="0" fitToPage="1" showAutoFilter="1" topLeftCell="F1">
      <selection activeCell="F9" sqref="A9:XFD9"/>
      <pageMargins left="0.23622047244094491" right="0.23622047244094491" top="0.74803149606299213" bottom="0.74803149606299213" header="0.31496062992125984" footer="0.31496062992125984"/>
      <pageSetup paperSize="8" scale="50" fitToHeight="0" orientation="landscape" r:id="rId1"/>
      <headerFooter>
        <oddHeader>&amp;LWojewództwo&amp;K000000 Opolskie&amp;K01+000 - zadania powiatowe lista podstawowa</oddHeader>
        <oddFooter>Strona &amp;P z &amp;N</oddFooter>
      </headerFooter>
      <autoFilter ref="A1:AC19" xr:uid="{00000000-0000-0000-0000-000000000000}"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  <filterColumn colId="23" showButton="0"/>
      </autoFilter>
    </customSheetView>
    <customSheetView guid="{C76DCD22-0DC9-4799-A058-B64B837BBA0E}" scale="90" showGridLines="0" fitToPage="1" showAutoFilter="1">
      <selection activeCell="A4" sqref="A4:XFD4"/>
      <pageMargins left="0.23622047244094491" right="0.23622047244094491" top="0.74803149606299213" bottom="0.74803149606299213" header="0.31496062992125984" footer="0.31496062992125984"/>
      <pageSetup paperSize="8" scale="50" fitToHeight="0" orientation="landscape" r:id="rId2"/>
      <headerFooter>
        <oddHeader>&amp;LWojewództwo&amp;K000000 Opolskie&amp;K01+000 - zadania powiatowe lista podstawowa</oddHeader>
        <oddFooter>Strona &amp;P z &amp;N</oddFooter>
      </headerFooter>
      <autoFilter ref="A1:AC19" xr:uid="{00000000-0000-0000-0000-000000000000}"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  <filterColumn colId="23" showButton="0"/>
      </autoFilter>
    </customSheetView>
    <customSheetView guid="{E7CAF9DC-53CB-464B-97B7-E2DEFBC16359}" scale="90" showPageBreaks="1" showGridLines="0" fitToPage="1" printArea="1" filter="1" showAutoFilter="1">
      <selection activeCell="K10" sqref="K10"/>
      <pageMargins left="0.23622047244094491" right="0.23622047244094491" top="0.74803149606299213" bottom="0.74803149606299213" header="0.31496062992125984" footer="0.31496062992125984"/>
      <pageSetup paperSize="8" scale="50" fitToHeight="0" orientation="landscape" r:id="rId3"/>
      <headerFooter>
        <oddHeader>&amp;LWojewództwo&amp;K000000 Opolskie&amp;K01+000 - zadania powiatowe lista podstawowa</oddHeader>
        <oddFooter>Strona &amp;P z &amp;N</oddFooter>
      </headerFooter>
      <autoFilter ref="A1:AC19" xr:uid="{00000000-0000-0000-0000-000000000000}">
        <filterColumn colId="5">
          <filters>
            <filter val="Przebudowa drogi nr 1225 O relacji Baborów - Sucha Psina na odcinku Czerwonków - Baborów"/>
          </filters>
        </filterColumn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  <filterColumn colId="23" showButton="0"/>
      </autoFilter>
    </customSheetView>
    <customSheetView guid="{CB410AB3-2DDF-47B7-B021-1F68EEA98257}" scale="90" showPageBreaks="1" showGridLines="0" fitToPage="1" printArea="1" showAutoFilter="1">
      <selection activeCell="F6" sqref="F6"/>
      <pageMargins left="0.23622047244094491" right="0.23622047244094491" top="0.74803149606299213" bottom="0.74803149606299213" header="0.31496062992125984" footer="0.31496062992125984"/>
      <pageSetup paperSize="8" scale="50" fitToHeight="0" orientation="landscape" r:id="rId4"/>
      <headerFooter>
        <oddHeader>&amp;LWojewództwo&amp;K000000 Opolskie&amp;K01+000 - zadania powiatowe lista podstawowa</oddHeader>
        <oddFooter>Strona &amp;P z &amp;N</oddFooter>
      </headerFooter>
      <autoFilter ref="A1:AC19" xr:uid="{00000000-0000-0000-0000-000000000000}"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  <filterColumn colId="23" showButton="0"/>
      </autoFilter>
    </customSheetView>
  </customSheetViews>
  <mergeCells count="18">
    <mergeCell ref="H1:H2"/>
    <mergeCell ref="I1:I2"/>
    <mergeCell ref="J1:J2"/>
    <mergeCell ref="K1:K2"/>
    <mergeCell ref="N1:Y1"/>
    <mergeCell ref="L1:L2"/>
    <mergeCell ref="M1:M2"/>
    <mergeCell ref="D1:D2"/>
    <mergeCell ref="A14:G14"/>
    <mergeCell ref="A13:G13"/>
    <mergeCell ref="E1:E2"/>
    <mergeCell ref="A11:G11"/>
    <mergeCell ref="A1:A2"/>
    <mergeCell ref="B1:B2"/>
    <mergeCell ref="C1:C2"/>
    <mergeCell ref="F1:F2"/>
    <mergeCell ref="G1:G2"/>
    <mergeCell ref="A12:G12"/>
  </mergeCells>
  <conditionalFormatting sqref="AA3:AC12 Z3:Z14">
    <cfRule type="cellIs" dxfId="74" priority="15" operator="equal">
      <formula>FALSE</formula>
    </cfRule>
  </conditionalFormatting>
  <conditionalFormatting sqref="Z3:AB3 AA4:AB12 Z4:Z14">
    <cfRule type="containsText" dxfId="73" priority="13" operator="containsText" text="fałsz">
      <formula>NOT(ISERROR(SEARCH("fałsz",Z3)))</formula>
    </cfRule>
  </conditionalFormatting>
  <conditionalFormatting sqref="AC16">
    <cfRule type="cellIs" dxfId="72" priority="12" operator="equal">
      <formula>FALSE</formula>
    </cfRule>
  </conditionalFormatting>
  <conditionalFormatting sqref="AC16">
    <cfRule type="cellIs" dxfId="71" priority="11" operator="equal">
      <formula>FALSE</formula>
    </cfRule>
  </conditionalFormatting>
  <conditionalFormatting sqref="AA14:AB14">
    <cfRule type="cellIs" dxfId="70" priority="10" operator="equal">
      <formula>FALSE</formula>
    </cfRule>
  </conditionalFormatting>
  <conditionalFormatting sqref="AA14:AB14">
    <cfRule type="containsText" dxfId="69" priority="8" operator="containsText" text="fałsz">
      <formula>NOT(ISERROR(SEARCH("fałsz",AA14)))</formula>
    </cfRule>
  </conditionalFormatting>
  <conditionalFormatting sqref="AC14">
    <cfRule type="cellIs" dxfId="68" priority="7" operator="equal">
      <formula>FALSE</formula>
    </cfRule>
  </conditionalFormatting>
  <conditionalFormatting sqref="AC14">
    <cfRule type="cellIs" dxfId="67" priority="6" operator="equal">
      <formula>FALSE</formula>
    </cfRule>
  </conditionalFormatting>
  <conditionalFormatting sqref="AA13:AB13">
    <cfRule type="cellIs" dxfId="66" priority="5" operator="equal">
      <formula>FALSE</formula>
    </cfRule>
  </conditionalFormatting>
  <conditionalFormatting sqref="AA13:AB13">
    <cfRule type="containsText" dxfId="65" priority="3" operator="containsText" text="fałsz">
      <formula>NOT(ISERROR(SEARCH("fałsz",AA13)))</formula>
    </cfRule>
  </conditionalFormatting>
  <conditionalFormatting sqref="AC13">
    <cfRule type="cellIs" dxfId="64" priority="2" operator="equal">
      <formula>FALSE</formula>
    </cfRule>
  </conditionalFormatting>
  <conditionalFormatting sqref="AC13">
    <cfRule type="cellIs" dxfId="63" priority="1" operator="equal">
      <formula>FALSE</formula>
    </cfRule>
  </conditionalFormatting>
  <dataValidations count="2">
    <dataValidation type="list" allowBlank="1" showInputMessage="1" showErrorMessage="1" sqref="C3:C10" xr:uid="{00000000-0002-0000-0100-000000000000}">
      <formula1>"N,K,W"</formula1>
    </dataValidation>
    <dataValidation type="list" allowBlank="1" showInputMessage="1" showErrorMessage="1" sqref="G3:G10" xr:uid="{00000000-0002-0000-0100-000001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9" fitToHeight="0" orientation="landscape" r:id="rId5"/>
  <headerFooter>
    <oddHeader>&amp;LWojewództwo&amp;K000000 Opolskie&amp;K01+000 -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70"/>
  <sheetViews>
    <sheetView showGridLines="0" view="pageBreakPreview" zoomScale="85" zoomScaleNormal="90" zoomScaleSheetLayoutView="85" workbookViewId="0">
      <selection activeCell="E1" sqref="E1:E2"/>
    </sheetView>
  </sheetViews>
  <sheetFormatPr defaultColWidth="9.28515625" defaultRowHeight="15" x14ac:dyDescent="0.25"/>
  <cols>
    <col min="1" max="1" width="5.28515625" style="4" customWidth="1"/>
    <col min="2" max="2" width="15.7109375" style="4" customWidth="1"/>
    <col min="3" max="3" width="11.7109375" style="4" customWidth="1"/>
    <col min="4" max="4" width="15.7109375" style="4" customWidth="1"/>
    <col min="5" max="5" width="10" style="4" customWidth="1"/>
    <col min="6" max="6" width="15.7109375" style="4" customWidth="1"/>
    <col min="7" max="7" width="47.28515625" style="4" customWidth="1"/>
    <col min="8" max="8" width="8.85546875" style="4" customWidth="1"/>
    <col min="9" max="9" width="12.5703125" style="4" customWidth="1"/>
    <col min="10" max="11" width="15.7109375" style="4" customWidth="1"/>
    <col min="12" max="12" width="17.28515625" style="4" customWidth="1"/>
    <col min="13" max="13" width="15.7109375" style="4" customWidth="1"/>
    <col min="14" max="14" width="15.7109375" style="246" customWidth="1"/>
    <col min="15" max="18" width="15.7109375" style="4" hidden="1" customWidth="1"/>
    <col min="19" max="22" width="15.7109375" style="4" customWidth="1"/>
    <col min="23" max="23" width="13.28515625" style="4" customWidth="1"/>
    <col min="24" max="26" width="15.7109375" style="4" customWidth="1"/>
    <col min="27" max="29" width="15.7109375" style="39" customWidth="1"/>
    <col min="30" max="30" width="15.7109375" style="4" customWidth="1"/>
    <col min="31" max="16384" width="9.28515625" style="4"/>
  </cols>
  <sheetData>
    <row r="1" spans="1:30" ht="20.100000000000001" customHeight="1" x14ac:dyDescent="0.25">
      <c r="A1" s="306" t="s">
        <v>4</v>
      </c>
      <c r="B1" s="306" t="s">
        <v>5</v>
      </c>
      <c r="C1" s="307" t="s">
        <v>44</v>
      </c>
      <c r="D1" s="309" t="s">
        <v>6</v>
      </c>
      <c r="E1" s="306" t="s">
        <v>33</v>
      </c>
      <c r="F1" s="309" t="s">
        <v>15</v>
      </c>
      <c r="G1" s="306" t="s">
        <v>7</v>
      </c>
      <c r="H1" s="306" t="s">
        <v>27</v>
      </c>
      <c r="I1" s="306" t="s">
        <v>8</v>
      </c>
      <c r="J1" s="306" t="s">
        <v>28</v>
      </c>
      <c r="K1" s="306" t="s">
        <v>9</v>
      </c>
      <c r="L1" s="306" t="s">
        <v>17</v>
      </c>
      <c r="M1" s="309" t="s">
        <v>13</v>
      </c>
      <c r="N1" s="306" t="s">
        <v>11</v>
      </c>
      <c r="O1" s="308" t="s">
        <v>12</v>
      </c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</row>
    <row r="2" spans="1:30" ht="31.5" customHeight="1" x14ac:dyDescent="0.25">
      <c r="A2" s="306"/>
      <c r="B2" s="306"/>
      <c r="C2" s="308"/>
      <c r="D2" s="310"/>
      <c r="E2" s="306"/>
      <c r="F2" s="310"/>
      <c r="G2" s="306"/>
      <c r="H2" s="306"/>
      <c r="I2" s="306"/>
      <c r="J2" s="306"/>
      <c r="K2" s="306"/>
      <c r="L2" s="306"/>
      <c r="M2" s="310"/>
      <c r="N2" s="306"/>
      <c r="O2" s="238">
        <v>2019</v>
      </c>
      <c r="P2" s="238">
        <v>2020</v>
      </c>
      <c r="Q2" s="238">
        <v>2021</v>
      </c>
      <c r="R2" s="238">
        <v>2022</v>
      </c>
      <c r="S2" s="238">
        <v>2023</v>
      </c>
      <c r="T2" s="238">
        <v>2024</v>
      </c>
      <c r="U2" s="238">
        <v>2025</v>
      </c>
      <c r="V2" s="238">
        <v>2026</v>
      </c>
      <c r="W2" s="238">
        <v>2027</v>
      </c>
      <c r="X2" s="238">
        <v>2028</v>
      </c>
      <c r="Y2" s="238">
        <v>2029</v>
      </c>
      <c r="Z2" s="238">
        <v>2030</v>
      </c>
      <c r="AA2" s="246" t="s">
        <v>29</v>
      </c>
      <c r="AB2" s="246" t="s">
        <v>30</v>
      </c>
      <c r="AC2" s="246" t="s">
        <v>31</v>
      </c>
      <c r="AD2" s="44" t="s">
        <v>32</v>
      </c>
    </row>
    <row r="3" spans="1:30" s="242" customFormat="1" ht="34.5" customHeight="1" x14ac:dyDescent="0.25">
      <c r="A3" s="220">
        <v>1</v>
      </c>
      <c r="B3" s="198" t="s">
        <v>78</v>
      </c>
      <c r="C3" s="205" t="s">
        <v>79</v>
      </c>
      <c r="D3" s="198" t="s">
        <v>80</v>
      </c>
      <c r="E3" s="198">
        <v>1603062</v>
      </c>
      <c r="F3" s="198" t="s">
        <v>81</v>
      </c>
      <c r="G3" s="198" t="s">
        <v>82</v>
      </c>
      <c r="H3" s="198" t="s">
        <v>66</v>
      </c>
      <c r="I3" s="199">
        <v>1.581</v>
      </c>
      <c r="J3" s="200" t="s">
        <v>313</v>
      </c>
      <c r="K3" s="203">
        <v>11772051.92</v>
      </c>
      <c r="L3" s="212">
        <v>8009419.0700000003</v>
      </c>
      <c r="M3" s="204">
        <f>K3-L3</f>
        <v>3762632.8499999996</v>
      </c>
      <c r="N3" s="208">
        <v>0.6804</v>
      </c>
      <c r="O3" s="225">
        <v>0</v>
      </c>
      <c r="P3" s="225">
        <v>0</v>
      </c>
      <c r="Q3" s="216">
        <v>0</v>
      </c>
      <c r="R3" s="216">
        <v>0</v>
      </c>
      <c r="S3" s="213">
        <v>3924248.05</v>
      </c>
      <c r="T3" s="212">
        <v>4085171.0200000005</v>
      </c>
      <c r="U3" s="212">
        <v>0</v>
      </c>
      <c r="V3" s="212">
        <v>0</v>
      </c>
      <c r="W3" s="225">
        <v>0</v>
      </c>
      <c r="X3" s="225">
        <v>0</v>
      </c>
      <c r="Y3" s="216">
        <v>0</v>
      </c>
      <c r="Z3" s="216">
        <v>0</v>
      </c>
      <c r="AA3" s="239" t="b">
        <f>L3=SUM(O3:Z3)</f>
        <v>1</v>
      </c>
      <c r="AB3" s="240">
        <f t="shared" ref="AB3:AB64" si="0">ROUND(L3/K3,4)</f>
        <v>0.6804</v>
      </c>
      <c r="AC3" s="241" t="b">
        <f t="shared" ref="AC3:AC52" si="1">AB3=N3</f>
        <v>1</v>
      </c>
      <c r="AD3" s="241" t="b">
        <f t="shared" ref="AD3:AD64" si="2">K3=L3+M3</f>
        <v>1</v>
      </c>
    </row>
    <row r="4" spans="1:30" s="242" customFormat="1" ht="30" customHeight="1" x14ac:dyDescent="0.25">
      <c r="A4" s="220">
        <v>2</v>
      </c>
      <c r="B4" s="198" t="s">
        <v>83</v>
      </c>
      <c r="C4" s="205" t="s">
        <v>79</v>
      </c>
      <c r="D4" s="198" t="s">
        <v>84</v>
      </c>
      <c r="E4" s="198">
        <v>1609073</v>
      </c>
      <c r="F4" s="198" t="s">
        <v>85</v>
      </c>
      <c r="G4" s="198" t="s">
        <v>86</v>
      </c>
      <c r="H4" s="198" t="s">
        <v>66</v>
      </c>
      <c r="I4" s="199">
        <v>0.98199999999999998</v>
      </c>
      <c r="J4" s="200" t="s">
        <v>87</v>
      </c>
      <c r="K4" s="203">
        <v>5593904.75</v>
      </c>
      <c r="L4" s="212">
        <f>ROUND(K4*N4,2)</f>
        <v>3915733.33</v>
      </c>
      <c r="M4" s="204">
        <f t="shared" ref="M4:M52" si="3">K4-L4</f>
        <v>1678171.42</v>
      </c>
      <c r="N4" s="202">
        <v>0.7</v>
      </c>
      <c r="O4" s="225">
        <v>0</v>
      </c>
      <c r="P4" s="225">
        <v>0</v>
      </c>
      <c r="Q4" s="216">
        <v>0</v>
      </c>
      <c r="R4" s="216">
        <v>0</v>
      </c>
      <c r="S4" s="213">
        <v>573631.93999999994</v>
      </c>
      <c r="T4" s="212">
        <v>3342101.39</v>
      </c>
      <c r="U4" s="212">
        <v>0</v>
      </c>
      <c r="V4" s="212">
        <v>0</v>
      </c>
      <c r="W4" s="225">
        <v>0</v>
      </c>
      <c r="X4" s="225">
        <v>0</v>
      </c>
      <c r="Y4" s="216">
        <v>0</v>
      </c>
      <c r="Z4" s="216">
        <v>0</v>
      </c>
      <c r="AA4" s="239" t="b">
        <f t="shared" ref="AA4:AA24" si="4">L4=SUM(O4:Z4)</f>
        <v>1</v>
      </c>
      <c r="AB4" s="240">
        <f t="shared" si="0"/>
        <v>0.7</v>
      </c>
      <c r="AC4" s="241" t="b">
        <f t="shared" si="1"/>
        <v>1</v>
      </c>
      <c r="AD4" s="241" t="b">
        <f t="shared" si="2"/>
        <v>1</v>
      </c>
    </row>
    <row r="5" spans="1:30" s="242" customFormat="1" ht="30" customHeight="1" x14ac:dyDescent="0.25">
      <c r="A5" s="220">
        <v>3</v>
      </c>
      <c r="B5" s="198" t="s">
        <v>88</v>
      </c>
      <c r="C5" s="205" t="s">
        <v>79</v>
      </c>
      <c r="D5" s="198" t="s">
        <v>89</v>
      </c>
      <c r="E5" s="198">
        <v>1607013</v>
      </c>
      <c r="F5" s="198" t="s">
        <v>56</v>
      </c>
      <c r="G5" s="198" t="s">
        <v>90</v>
      </c>
      <c r="H5" s="198" t="s">
        <v>66</v>
      </c>
      <c r="I5" s="199">
        <v>1.3407500000000001</v>
      </c>
      <c r="J5" s="200" t="s">
        <v>91</v>
      </c>
      <c r="K5" s="203">
        <v>6691889.3700000001</v>
      </c>
      <c r="L5" s="212">
        <v>4678354.46</v>
      </c>
      <c r="M5" s="204">
        <f t="shared" si="3"/>
        <v>2013534.9100000001</v>
      </c>
      <c r="N5" s="208">
        <v>0.69910000000000005</v>
      </c>
      <c r="O5" s="225">
        <v>0</v>
      </c>
      <c r="P5" s="225">
        <v>0</v>
      </c>
      <c r="Q5" s="216">
        <v>0</v>
      </c>
      <c r="R5" s="216">
        <v>0</v>
      </c>
      <c r="S5" s="213">
        <v>3266354.46</v>
      </c>
      <c r="T5" s="212">
        <v>1412000</v>
      </c>
      <c r="U5" s="212">
        <v>0</v>
      </c>
      <c r="V5" s="212">
        <v>0</v>
      </c>
      <c r="W5" s="225">
        <v>0</v>
      </c>
      <c r="X5" s="225">
        <v>0</v>
      </c>
      <c r="Y5" s="216">
        <v>0</v>
      </c>
      <c r="Z5" s="216">
        <v>0</v>
      </c>
      <c r="AA5" s="239" t="b">
        <f t="shared" si="4"/>
        <v>1</v>
      </c>
      <c r="AB5" s="240">
        <f t="shared" si="0"/>
        <v>0.69910000000000005</v>
      </c>
      <c r="AC5" s="241" t="b">
        <f t="shared" si="1"/>
        <v>1</v>
      </c>
      <c r="AD5" s="241" t="b">
        <f t="shared" si="2"/>
        <v>1</v>
      </c>
    </row>
    <row r="6" spans="1:30" s="242" customFormat="1" ht="41.25" customHeight="1" x14ac:dyDescent="0.25">
      <c r="A6" s="220">
        <v>4</v>
      </c>
      <c r="B6" s="198" t="s">
        <v>92</v>
      </c>
      <c r="C6" s="205" t="s">
        <v>79</v>
      </c>
      <c r="D6" s="198" t="s">
        <v>93</v>
      </c>
      <c r="E6" s="198">
        <v>1603011</v>
      </c>
      <c r="F6" s="198" t="s">
        <v>81</v>
      </c>
      <c r="G6" s="198" t="s">
        <v>94</v>
      </c>
      <c r="H6" s="198" t="s">
        <v>58</v>
      </c>
      <c r="I6" s="199">
        <v>0.191</v>
      </c>
      <c r="J6" s="200" t="s">
        <v>302</v>
      </c>
      <c r="K6" s="203">
        <v>1568775.01</v>
      </c>
      <c r="L6" s="212">
        <f t="shared" ref="L6:L10" si="5">ROUND(K6*N6,2)</f>
        <v>784387.51</v>
      </c>
      <c r="M6" s="204">
        <f t="shared" si="3"/>
        <v>784387.5</v>
      </c>
      <c r="N6" s="202">
        <v>0.5</v>
      </c>
      <c r="O6" s="225">
        <v>0</v>
      </c>
      <c r="P6" s="225">
        <v>0</v>
      </c>
      <c r="Q6" s="216">
        <v>0</v>
      </c>
      <c r="R6" s="216">
        <v>0</v>
      </c>
      <c r="S6" s="213">
        <v>784387.51</v>
      </c>
      <c r="T6" s="212">
        <v>0</v>
      </c>
      <c r="U6" s="212">
        <v>0</v>
      </c>
      <c r="V6" s="212">
        <v>0</v>
      </c>
      <c r="W6" s="225">
        <v>0</v>
      </c>
      <c r="X6" s="225">
        <v>0</v>
      </c>
      <c r="Y6" s="216">
        <v>0</v>
      </c>
      <c r="Z6" s="216">
        <v>0</v>
      </c>
      <c r="AA6" s="239" t="b">
        <f t="shared" si="4"/>
        <v>1</v>
      </c>
      <c r="AB6" s="240">
        <f t="shared" si="0"/>
        <v>0.5</v>
      </c>
      <c r="AC6" s="241" t="b">
        <f t="shared" si="1"/>
        <v>1</v>
      </c>
      <c r="AD6" s="241" t="b">
        <f t="shared" si="2"/>
        <v>1</v>
      </c>
    </row>
    <row r="7" spans="1:30" s="242" customFormat="1" ht="30" customHeight="1" x14ac:dyDescent="0.25">
      <c r="A7" s="220">
        <v>5</v>
      </c>
      <c r="B7" s="198" t="s">
        <v>95</v>
      </c>
      <c r="C7" s="205" t="s">
        <v>79</v>
      </c>
      <c r="D7" s="198" t="s">
        <v>96</v>
      </c>
      <c r="E7" s="198">
        <v>1611063</v>
      </c>
      <c r="F7" s="198" t="s">
        <v>64</v>
      </c>
      <c r="G7" s="198" t="s">
        <v>97</v>
      </c>
      <c r="H7" s="198" t="s">
        <v>66</v>
      </c>
      <c r="I7" s="199">
        <v>0.64900000000000002</v>
      </c>
      <c r="J7" s="200" t="s">
        <v>98</v>
      </c>
      <c r="K7" s="203">
        <v>2232450</v>
      </c>
      <c r="L7" s="212">
        <f t="shared" si="5"/>
        <v>1116225</v>
      </c>
      <c r="M7" s="204">
        <f t="shared" si="3"/>
        <v>1116225</v>
      </c>
      <c r="N7" s="202">
        <v>0.5</v>
      </c>
      <c r="O7" s="225">
        <v>0</v>
      </c>
      <c r="P7" s="225">
        <v>0</v>
      </c>
      <c r="Q7" s="216">
        <v>0</v>
      </c>
      <c r="R7" s="216">
        <v>0</v>
      </c>
      <c r="S7" s="213">
        <v>630802.61</v>
      </c>
      <c r="T7" s="213">
        <v>485422.39</v>
      </c>
      <c r="U7" s="212">
        <v>0</v>
      </c>
      <c r="V7" s="212">
        <v>0</v>
      </c>
      <c r="W7" s="225">
        <v>0</v>
      </c>
      <c r="X7" s="225">
        <v>0</v>
      </c>
      <c r="Y7" s="216">
        <v>0</v>
      </c>
      <c r="Z7" s="216">
        <v>0</v>
      </c>
      <c r="AA7" s="239" t="b">
        <f t="shared" si="4"/>
        <v>1</v>
      </c>
      <c r="AB7" s="240">
        <f t="shared" si="0"/>
        <v>0.5</v>
      </c>
      <c r="AC7" s="241" t="b">
        <f t="shared" si="1"/>
        <v>1</v>
      </c>
      <c r="AD7" s="241" t="b">
        <f t="shared" si="2"/>
        <v>1</v>
      </c>
    </row>
    <row r="8" spans="1:30" s="242" customFormat="1" ht="30" customHeight="1" x14ac:dyDescent="0.25">
      <c r="A8" s="220">
        <v>6</v>
      </c>
      <c r="B8" s="198" t="s">
        <v>99</v>
      </c>
      <c r="C8" s="205" t="s">
        <v>79</v>
      </c>
      <c r="D8" s="198" t="s">
        <v>100</v>
      </c>
      <c r="E8" s="198">
        <v>1611022</v>
      </c>
      <c r="F8" s="198" t="s">
        <v>64</v>
      </c>
      <c r="G8" s="198" t="s">
        <v>101</v>
      </c>
      <c r="H8" s="198" t="s">
        <v>58</v>
      </c>
      <c r="I8" s="199">
        <v>0.437</v>
      </c>
      <c r="J8" s="200" t="s">
        <v>102</v>
      </c>
      <c r="K8" s="203">
        <v>878260</v>
      </c>
      <c r="L8" s="212">
        <f t="shared" si="5"/>
        <v>614782</v>
      </c>
      <c r="M8" s="204">
        <f t="shared" si="3"/>
        <v>263478</v>
      </c>
      <c r="N8" s="202">
        <v>0.7</v>
      </c>
      <c r="O8" s="225">
        <v>0</v>
      </c>
      <c r="P8" s="225">
        <v>0</v>
      </c>
      <c r="Q8" s="216">
        <v>0</v>
      </c>
      <c r="R8" s="216">
        <v>0</v>
      </c>
      <c r="S8" s="213">
        <v>614782</v>
      </c>
      <c r="T8" s="212">
        <v>0</v>
      </c>
      <c r="U8" s="212">
        <v>0</v>
      </c>
      <c r="V8" s="212">
        <v>0</v>
      </c>
      <c r="W8" s="225">
        <v>0</v>
      </c>
      <c r="X8" s="225">
        <v>0</v>
      </c>
      <c r="Y8" s="216">
        <v>0</v>
      </c>
      <c r="Z8" s="216">
        <v>0</v>
      </c>
      <c r="AA8" s="239" t="b">
        <f t="shared" si="4"/>
        <v>1</v>
      </c>
      <c r="AB8" s="240">
        <f t="shared" si="0"/>
        <v>0.7</v>
      </c>
      <c r="AC8" s="241" t="b">
        <f t="shared" si="1"/>
        <v>1</v>
      </c>
      <c r="AD8" s="241" t="b">
        <f t="shared" si="2"/>
        <v>1</v>
      </c>
    </row>
    <row r="9" spans="1:30" s="242" customFormat="1" ht="30" customHeight="1" x14ac:dyDescent="0.25">
      <c r="A9" s="220">
        <v>7</v>
      </c>
      <c r="B9" s="198" t="s">
        <v>103</v>
      </c>
      <c r="C9" s="198" t="s">
        <v>79</v>
      </c>
      <c r="D9" s="198" t="s">
        <v>104</v>
      </c>
      <c r="E9" s="206">
        <v>1601033</v>
      </c>
      <c r="F9" s="198" t="s">
        <v>105</v>
      </c>
      <c r="G9" s="198" t="s">
        <v>106</v>
      </c>
      <c r="H9" s="198" t="s">
        <v>53</v>
      </c>
      <c r="I9" s="198">
        <v>0.47799999999999998</v>
      </c>
      <c r="J9" s="200" t="s">
        <v>303</v>
      </c>
      <c r="K9" s="203">
        <v>1665326.99</v>
      </c>
      <c r="L9" s="212">
        <f t="shared" si="5"/>
        <v>999196.19</v>
      </c>
      <c r="M9" s="204">
        <f t="shared" si="3"/>
        <v>666130.80000000005</v>
      </c>
      <c r="N9" s="202">
        <v>0.6</v>
      </c>
      <c r="O9" s="225">
        <v>0</v>
      </c>
      <c r="P9" s="225">
        <v>0</v>
      </c>
      <c r="Q9" s="216">
        <v>0</v>
      </c>
      <c r="R9" s="216">
        <v>0</v>
      </c>
      <c r="S9" s="213">
        <v>470723.89</v>
      </c>
      <c r="T9" s="212">
        <f>L9-S9</f>
        <v>528472.29999999993</v>
      </c>
      <c r="U9" s="212">
        <v>0</v>
      </c>
      <c r="V9" s="212">
        <v>0</v>
      </c>
      <c r="W9" s="225">
        <v>0</v>
      </c>
      <c r="X9" s="225">
        <v>0</v>
      </c>
      <c r="Y9" s="216">
        <v>0</v>
      </c>
      <c r="Z9" s="216">
        <v>0</v>
      </c>
      <c r="AA9" s="239" t="b">
        <f t="shared" si="4"/>
        <v>1</v>
      </c>
      <c r="AB9" s="240">
        <f t="shared" si="0"/>
        <v>0.6</v>
      </c>
      <c r="AC9" s="241" t="b">
        <f t="shared" si="1"/>
        <v>1</v>
      </c>
      <c r="AD9" s="241" t="b">
        <f t="shared" si="2"/>
        <v>1</v>
      </c>
    </row>
    <row r="10" spans="1:30" s="242" customFormat="1" ht="30" customHeight="1" x14ac:dyDescent="0.25">
      <c r="A10" s="220">
        <v>8</v>
      </c>
      <c r="B10" s="198" t="s">
        <v>107</v>
      </c>
      <c r="C10" s="198" t="s">
        <v>79</v>
      </c>
      <c r="D10" s="198" t="s">
        <v>89</v>
      </c>
      <c r="E10" s="206">
        <v>1607013</v>
      </c>
      <c r="F10" s="198" t="s">
        <v>56</v>
      </c>
      <c r="G10" s="198" t="s">
        <v>108</v>
      </c>
      <c r="H10" s="198" t="s">
        <v>66</v>
      </c>
      <c r="I10" s="198">
        <v>1.0629999999999999</v>
      </c>
      <c r="J10" s="200" t="s">
        <v>109</v>
      </c>
      <c r="K10" s="203">
        <v>1684505.71</v>
      </c>
      <c r="L10" s="212">
        <f t="shared" si="5"/>
        <v>1347604.57</v>
      </c>
      <c r="M10" s="204">
        <f t="shared" si="3"/>
        <v>336901.1399999999</v>
      </c>
      <c r="N10" s="202">
        <v>0.8</v>
      </c>
      <c r="O10" s="225">
        <v>0</v>
      </c>
      <c r="P10" s="225">
        <v>0</v>
      </c>
      <c r="Q10" s="216">
        <v>0</v>
      </c>
      <c r="R10" s="216">
        <v>0</v>
      </c>
      <c r="S10" s="213">
        <v>570445.66</v>
      </c>
      <c r="T10" s="212">
        <v>777158.91</v>
      </c>
      <c r="U10" s="212">
        <v>0</v>
      </c>
      <c r="V10" s="212">
        <v>0</v>
      </c>
      <c r="W10" s="225">
        <v>0</v>
      </c>
      <c r="X10" s="225">
        <v>0</v>
      </c>
      <c r="Y10" s="216">
        <v>0</v>
      </c>
      <c r="Z10" s="216">
        <v>0</v>
      </c>
      <c r="AA10" s="239" t="b">
        <f t="shared" si="4"/>
        <v>1</v>
      </c>
      <c r="AB10" s="240">
        <f t="shared" si="0"/>
        <v>0.8</v>
      </c>
      <c r="AC10" s="241" t="b">
        <f t="shared" si="1"/>
        <v>1</v>
      </c>
      <c r="AD10" s="241" t="b">
        <f t="shared" si="2"/>
        <v>1</v>
      </c>
    </row>
    <row r="11" spans="1:30" s="242" customFormat="1" ht="30" customHeight="1" x14ac:dyDescent="0.25">
      <c r="A11" s="221" t="s">
        <v>238</v>
      </c>
      <c r="B11" s="198" t="s">
        <v>110</v>
      </c>
      <c r="C11" s="198"/>
      <c r="D11" s="198" t="s">
        <v>111</v>
      </c>
      <c r="E11" s="206">
        <v>1608062</v>
      </c>
      <c r="F11" s="198" t="s">
        <v>112</v>
      </c>
      <c r="G11" s="198" t="s">
        <v>113</v>
      </c>
      <c r="H11" s="198" t="s">
        <v>58</v>
      </c>
      <c r="I11" s="198"/>
      <c r="J11" s="200" t="s">
        <v>279</v>
      </c>
      <c r="K11" s="203"/>
      <c r="L11" s="212"/>
      <c r="M11" s="204"/>
      <c r="N11" s="202">
        <v>0.8</v>
      </c>
      <c r="O11" s="225"/>
      <c r="P11" s="225"/>
      <c r="Q11" s="216"/>
      <c r="R11" s="216"/>
      <c r="S11" s="213"/>
      <c r="T11" s="212"/>
      <c r="U11" s="212"/>
      <c r="V11" s="212"/>
      <c r="W11" s="225"/>
      <c r="X11" s="225"/>
      <c r="Y11" s="216"/>
      <c r="Z11" s="216"/>
      <c r="AA11" s="239" t="b">
        <f t="shared" si="4"/>
        <v>1</v>
      </c>
      <c r="AB11" s="240" t="e">
        <f t="shared" si="0"/>
        <v>#DIV/0!</v>
      </c>
      <c r="AC11" s="241" t="e">
        <f t="shared" si="1"/>
        <v>#DIV/0!</v>
      </c>
      <c r="AD11" s="241" t="b">
        <f t="shared" si="2"/>
        <v>1</v>
      </c>
    </row>
    <row r="12" spans="1:30" s="242" customFormat="1" ht="30" customHeight="1" x14ac:dyDescent="0.25">
      <c r="A12" s="220">
        <v>10</v>
      </c>
      <c r="B12" s="198" t="s">
        <v>114</v>
      </c>
      <c r="C12" s="205" t="s">
        <v>60</v>
      </c>
      <c r="D12" s="198" t="s">
        <v>115</v>
      </c>
      <c r="E12" s="198">
        <v>1609052</v>
      </c>
      <c r="F12" s="198" t="s">
        <v>85</v>
      </c>
      <c r="G12" s="198" t="s">
        <v>116</v>
      </c>
      <c r="H12" s="198" t="s">
        <v>66</v>
      </c>
      <c r="I12" s="199">
        <v>0.38600000000000001</v>
      </c>
      <c r="J12" s="200" t="s">
        <v>304</v>
      </c>
      <c r="K12" s="203">
        <v>1994815.13</v>
      </c>
      <c r="L12" s="212">
        <f t="shared" ref="L12:L52" si="6">ROUNDDOWN(K12*N12,2)</f>
        <v>1196889.07</v>
      </c>
      <c r="M12" s="204">
        <f t="shared" si="3"/>
        <v>797926.05999999982</v>
      </c>
      <c r="N12" s="209">
        <v>0.6</v>
      </c>
      <c r="O12" s="225">
        <v>0</v>
      </c>
      <c r="P12" s="225">
        <v>0</v>
      </c>
      <c r="Q12" s="216">
        <v>0</v>
      </c>
      <c r="R12" s="216">
        <v>0</v>
      </c>
      <c r="S12" s="212">
        <v>0</v>
      </c>
      <c r="T12" s="212">
        <f>ROUNDDOWN(N12*722111.56,2)</f>
        <v>433266.93</v>
      </c>
      <c r="U12" s="212">
        <f>L12-T12</f>
        <v>763622.14000000013</v>
      </c>
      <c r="V12" s="212">
        <v>0</v>
      </c>
      <c r="W12" s="225">
        <v>0</v>
      </c>
      <c r="X12" s="225">
        <v>0</v>
      </c>
      <c r="Y12" s="216">
        <v>0</v>
      </c>
      <c r="Z12" s="216">
        <v>0</v>
      </c>
      <c r="AA12" s="239" t="b">
        <f t="shared" si="4"/>
        <v>1</v>
      </c>
      <c r="AB12" s="240">
        <f t="shared" si="0"/>
        <v>0.6</v>
      </c>
      <c r="AC12" s="241" t="b">
        <f t="shared" si="1"/>
        <v>1</v>
      </c>
      <c r="AD12" s="241" t="b">
        <f t="shared" si="2"/>
        <v>1</v>
      </c>
    </row>
    <row r="13" spans="1:30" s="242" customFormat="1" ht="39.75" customHeight="1" x14ac:dyDescent="0.25">
      <c r="A13" s="220">
        <v>11</v>
      </c>
      <c r="B13" s="198" t="s">
        <v>117</v>
      </c>
      <c r="C13" s="205" t="s">
        <v>60</v>
      </c>
      <c r="D13" s="198" t="s">
        <v>93</v>
      </c>
      <c r="E13" s="198">
        <v>1603011</v>
      </c>
      <c r="F13" s="198" t="s">
        <v>81</v>
      </c>
      <c r="G13" s="198" t="s">
        <v>118</v>
      </c>
      <c r="H13" s="198" t="s">
        <v>66</v>
      </c>
      <c r="I13" s="199">
        <v>0.62</v>
      </c>
      <c r="J13" s="200" t="s">
        <v>280</v>
      </c>
      <c r="K13" s="203">
        <v>1942110.35</v>
      </c>
      <c r="L13" s="212">
        <f>ROUNDDOWN(K13*N13,2)</f>
        <v>971055.17</v>
      </c>
      <c r="M13" s="204">
        <f t="shared" si="3"/>
        <v>971055.18</v>
      </c>
      <c r="N13" s="209">
        <v>0.5</v>
      </c>
      <c r="O13" s="225">
        <v>0</v>
      </c>
      <c r="P13" s="225">
        <v>0</v>
      </c>
      <c r="Q13" s="216">
        <v>0</v>
      </c>
      <c r="R13" s="216">
        <v>0</v>
      </c>
      <c r="S13" s="212">
        <v>0</v>
      </c>
      <c r="T13" s="212">
        <v>971055.17</v>
      </c>
      <c r="U13" s="212">
        <f>L13-T13</f>
        <v>0</v>
      </c>
      <c r="V13" s="212">
        <v>0</v>
      </c>
      <c r="W13" s="225">
        <v>0</v>
      </c>
      <c r="X13" s="225">
        <v>0</v>
      </c>
      <c r="Y13" s="216">
        <v>0</v>
      </c>
      <c r="Z13" s="216">
        <v>0</v>
      </c>
      <c r="AA13" s="239" t="b">
        <f t="shared" si="4"/>
        <v>1</v>
      </c>
      <c r="AB13" s="240">
        <f t="shared" si="0"/>
        <v>0.5</v>
      </c>
      <c r="AC13" s="241" t="b">
        <f t="shared" si="1"/>
        <v>1</v>
      </c>
      <c r="AD13" s="241" t="b">
        <f t="shared" si="2"/>
        <v>1</v>
      </c>
    </row>
    <row r="14" spans="1:30" s="236" customFormat="1" ht="30" customHeight="1" x14ac:dyDescent="0.25">
      <c r="A14" s="222">
        <v>12</v>
      </c>
      <c r="B14" s="193" t="s">
        <v>119</v>
      </c>
      <c r="C14" s="207" t="s">
        <v>50</v>
      </c>
      <c r="D14" s="193" t="s">
        <v>120</v>
      </c>
      <c r="E14" s="193">
        <v>1609032</v>
      </c>
      <c r="F14" s="193" t="s">
        <v>85</v>
      </c>
      <c r="G14" s="193" t="s">
        <v>121</v>
      </c>
      <c r="H14" s="193" t="s">
        <v>66</v>
      </c>
      <c r="I14" s="195">
        <v>0.96440999999999999</v>
      </c>
      <c r="J14" s="197" t="s">
        <v>54</v>
      </c>
      <c r="K14" s="196">
        <v>2662779.27</v>
      </c>
      <c r="L14" s="214">
        <f t="shared" si="6"/>
        <v>1863945.48</v>
      </c>
      <c r="M14" s="52">
        <f t="shared" si="3"/>
        <v>798833.79</v>
      </c>
      <c r="N14" s="211">
        <v>0.7</v>
      </c>
      <c r="O14" s="226">
        <v>0</v>
      </c>
      <c r="P14" s="226">
        <v>0</v>
      </c>
      <c r="Q14" s="217">
        <v>0</v>
      </c>
      <c r="R14" s="217">
        <v>0</v>
      </c>
      <c r="S14" s="214">
        <v>0</v>
      </c>
      <c r="T14" s="214">
        <f>L14</f>
        <v>1863945.48</v>
      </c>
      <c r="U14" s="214">
        <v>0</v>
      </c>
      <c r="V14" s="214">
        <v>0</v>
      </c>
      <c r="W14" s="226">
        <v>0</v>
      </c>
      <c r="X14" s="226">
        <v>0</v>
      </c>
      <c r="Y14" s="217">
        <v>0</v>
      </c>
      <c r="Z14" s="217">
        <v>0</v>
      </c>
      <c r="AA14" s="233" t="b">
        <f t="shared" si="4"/>
        <v>1</v>
      </c>
      <c r="AB14" s="234">
        <f t="shared" si="0"/>
        <v>0.7</v>
      </c>
      <c r="AC14" s="235" t="b">
        <f t="shared" si="1"/>
        <v>1</v>
      </c>
      <c r="AD14" s="235" t="b">
        <f t="shared" si="2"/>
        <v>1</v>
      </c>
    </row>
    <row r="15" spans="1:30" s="236" customFormat="1" ht="30" customHeight="1" x14ac:dyDescent="0.25">
      <c r="A15" s="222">
        <v>13</v>
      </c>
      <c r="B15" s="193" t="s">
        <v>122</v>
      </c>
      <c r="C15" s="207" t="s">
        <v>50</v>
      </c>
      <c r="D15" s="193" t="s">
        <v>123</v>
      </c>
      <c r="E15" s="193">
        <v>1609083</v>
      </c>
      <c r="F15" s="193" t="s">
        <v>85</v>
      </c>
      <c r="G15" s="193" t="s">
        <v>124</v>
      </c>
      <c r="H15" s="193" t="s">
        <v>66</v>
      </c>
      <c r="I15" s="195">
        <v>0.84</v>
      </c>
      <c r="J15" s="197" t="s">
        <v>314</v>
      </c>
      <c r="K15" s="196">
        <v>12922242.33</v>
      </c>
      <c r="L15" s="214">
        <f t="shared" si="6"/>
        <v>9045569.6300000008</v>
      </c>
      <c r="M15" s="52">
        <f t="shared" si="3"/>
        <v>3876672.6999999993</v>
      </c>
      <c r="N15" s="210">
        <v>0.7</v>
      </c>
      <c r="O15" s="226">
        <v>0</v>
      </c>
      <c r="P15" s="226">
        <v>0</v>
      </c>
      <c r="Q15" s="217">
        <v>0</v>
      </c>
      <c r="R15" s="217">
        <v>0</v>
      </c>
      <c r="S15" s="214">
        <v>0</v>
      </c>
      <c r="T15" s="214">
        <f>L15</f>
        <v>9045569.6300000008</v>
      </c>
      <c r="U15" s="214">
        <v>0</v>
      </c>
      <c r="V15" s="214">
        <v>0</v>
      </c>
      <c r="W15" s="226">
        <v>0</v>
      </c>
      <c r="X15" s="226">
        <v>0</v>
      </c>
      <c r="Y15" s="217">
        <v>0</v>
      </c>
      <c r="Z15" s="217">
        <v>0</v>
      </c>
      <c r="AA15" s="233" t="b">
        <f t="shared" si="4"/>
        <v>1</v>
      </c>
      <c r="AB15" s="234">
        <f t="shared" si="0"/>
        <v>0.7</v>
      </c>
      <c r="AC15" s="235" t="b">
        <f t="shared" si="1"/>
        <v>1</v>
      </c>
      <c r="AD15" s="235" t="b">
        <f t="shared" si="2"/>
        <v>1</v>
      </c>
    </row>
    <row r="16" spans="1:30" s="236" customFormat="1" ht="30" customHeight="1" x14ac:dyDescent="0.25">
      <c r="A16" s="222">
        <v>14</v>
      </c>
      <c r="B16" s="193" t="s">
        <v>125</v>
      </c>
      <c r="C16" s="207" t="s">
        <v>50</v>
      </c>
      <c r="D16" s="193" t="s">
        <v>126</v>
      </c>
      <c r="E16" s="193">
        <v>1608033</v>
      </c>
      <c r="F16" s="193" t="s">
        <v>112</v>
      </c>
      <c r="G16" s="193" t="s">
        <v>127</v>
      </c>
      <c r="H16" s="193" t="s">
        <v>53</v>
      </c>
      <c r="I16" s="195">
        <v>3.786</v>
      </c>
      <c r="J16" s="197" t="s">
        <v>315</v>
      </c>
      <c r="K16" s="196">
        <v>1867568.65</v>
      </c>
      <c r="L16" s="214">
        <f t="shared" si="6"/>
        <v>1307298.05</v>
      </c>
      <c r="M16" s="52">
        <f t="shared" si="3"/>
        <v>560270.59999999986</v>
      </c>
      <c r="N16" s="210">
        <v>0.7</v>
      </c>
      <c r="O16" s="226">
        <v>0</v>
      </c>
      <c r="P16" s="226">
        <v>0</v>
      </c>
      <c r="Q16" s="217">
        <v>0</v>
      </c>
      <c r="R16" s="217">
        <v>0</v>
      </c>
      <c r="S16" s="214">
        <v>0</v>
      </c>
      <c r="T16" s="214">
        <f>L16</f>
        <v>1307298.05</v>
      </c>
      <c r="U16" s="214">
        <v>0</v>
      </c>
      <c r="V16" s="214">
        <v>0</v>
      </c>
      <c r="W16" s="226">
        <v>0</v>
      </c>
      <c r="X16" s="226">
        <v>0</v>
      </c>
      <c r="Y16" s="217">
        <v>0</v>
      </c>
      <c r="Z16" s="217">
        <v>0</v>
      </c>
      <c r="AA16" s="233" t="b">
        <f t="shared" si="4"/>
        <v>1</v>
      </c>
      <c r="AB16" s="234">
        <f t="shared" si="0"/>
        <v>0.7</v>
      </c>
      <c r="AC16" s="235" t="b">
        <f t="shared" si="1"/>
        <v>1</v>
      </c>
      <c r="AD16" s="235" t="b">
        <f t="shared" si="2"/>
        <v>1</v>
      </c>
    </row>
    <row r="17" spans="1:30" s="242" customFormat="1" ht="30" customHeight="1" x14ac:dyDescent="0.25">
      <c r="A17" s="220">
        <v>15</v>
      </c>
      <c r="B17" s="198" t="s">
        <v>128</v>
      </c>
      <c r="C17" s="205" t="s">
        <v>60</v>
      </c>
      <c r="D17" s="198" t="s">
        <v>129</v>
      </c>
      <c r="E17" s="198">
        <v>1601011</v>
      </c>
      <c r="F17" s="198" t="s">
        <v>105</v>
      </c>
      <c r="G17" s="198" t="s">
        <v>130</v>
      </c>
      <c r="H17" s="198" t="s">
        <v>58</v>
      </c>
      <c r="I17" s="199">
        <v>0.55700000000000005</v>
      </c>
      <c r="J17" s="200" t="s">
        <v>316</v>
      </c>
      <c r="K17" s="203">
        <v>14506561.859999999</v>
      </c>
      <c r="L17" s="212">
        <f t="shared" si="6"/>
        <v>11605249.48</v>
      </c>
      <c r="M17" s="204">
        <f t="shared" si="3"/>
        <v>2901312.379999999</v>
      </c>
      <c r="N17" s="209">
        <v>0.8</v>
      </c>
      <c r="O17" s="225">
        <v>0</v>
      </c>
      <c r="P17" s="225">
        <v>0</v>
      </c>
      <c r="Q17" s="216">
        <v>0</v>
      </c>
      <c r="R17" s="216">
        <v>0</v>
      </c>
      <c r="S17" s="212">
        <v>0</v>
      </c>
      <c r="T17" s="212">
        <f>ROUNDDOWN(N17*4944950.56,2)</f>
        <v>3955960.44</v>
      </c>
      <c r="U17" s="212">
        <f>ROUNDDOWN(N17*7077422.86,2)</f>
        <v>5661938.2800000003</v>
      </c>
      <c r="V17" s="212">
        <f>L17-T17-U17</f>
        <v>1987350.7600000007</v>
      </c>
      <c r="W17" s="225">
        <v>0</v>
      </c>
      <c r="X17" s="225">
        <v>0</v>
      </c>
      <c r="Y17" s="216">
        <v>0</v>
      </c>
      <c r="Z17" s="216">
        <v>0</v>
      </c>
      <c r="AA17" s="239" t="b">
        <f t="shared" si="4"/>
        <v>1</v>
      </c>
      <c r="AB17" s="240">
        <f t="shared" si="0"/>
        <v>0.8</v>
      </c>
      <c r="AC17" s="241" t="b">
        <f t="shared" si="1"/>
        <v>1</v>
      </c>
      <c r="AD17" s="241" t="b">
        <f t="shared" si="2"/>
        <v>1</v>
      </c>
    </row>
    <row r="18" spans="1:30" s="236" customFormat="1" ht="30" customHeight="1" x14ac:dyDescent="0.25">
      <c r="A18" s="222">
        <v>16</v>
      </c>
      <c r="B18" s="193" t="s">
        <v>131</v>
      </c>
      <c r="C18" s="194" t="s">
        <v>50</v>
      </c>
      <c r="D18" s="193" t="s">
        <v>111</v>
      </c>
      <c r="E18" s="193">
        <v>1608062</v>
      </c>
      <c r="F18" s="193" t="s">
        <v>112</v>
      </c>
      <c r="G18" s="193" t="s">
        <v>132</v>
      </c>
      <c r="H18" s="193" t="s">
        <v>53</v>
      </c>
      <c r="I18" s="195">
        <v>2.7429999999999999</v>
      </c>
      <c r="J18" s="197" t="s">
        <v>263</v>
      </c>
      <c r="K18" s="196">
        <v>2998625.07</v>
      </c>
      <c r="L18" s="214">
        <f t="shared" si="6"/>
        <v>2398900.0499999998</v>
      </c>
      <c r="M18" s="52">
        <f t="shared" si="3"/>
        <v>599725.02</v>
      </c>
      <c r="N18" s="210">
        <v>0.8</v>
      </c>
      <c r="O18" s="226">
        <v>0</v>
      </c>
      <c r="P18" s="226">
        <v>0</v>
      </c>
      <c r="Q18" s="217">
        <v>0</v>
      </c>
      <c r="R18" s="217">
        <v>0</v>
      </c>
      <c r="S18" s="214">
        <v>0</v>
      </c>
      <c r="T18" s="214">
        <f t="shared" ref="T18:T22" si="7">L18</f>
        <v>2398900.0499999998</v>
      </c>
      <c r="U18" s="214">
        <v>0</v>
      </c>
      <c r="V18" s="214">
        <v>0</v>
      </c>
      <c r="W18" s="226">
        <v>0</v>
      </c>
      <c r="X18" s="226">
        <v>0</v>
      </c>
      <c r="Y18" s="217">
        <v>0</v>
      </c>
      <c r="Z18" s="217">
        <v>0</v>
      </c>
      <c r="AA18" s="233" t="b">
        <f t="shared" si="4"/>
        <v>1</v>
      </c>
      <c r="AB18" s="234">
        <f t="shared" si="0"/>
        <v>0.8</v>
      </c>
      <c r="AC18" s="235" t="b">
        <f t="shared" si="1"/>
        <v>1</v>
      </c>
      <c r="AD18" s="235" t="b">
        <f t="shared" si="2"/>
        <v>1</v>
      </c>
    </row>
    <row r="19" spans="1:30" s="236" customFormat="1" ht="38.25" customHeight="1" x14ac:dyDescent="0.25">
      <c r="A19" s="222">
        <v>17</v>
      </c>
      <c r="B19" s="193" t="s">
        <v>134</v>
      </c>
      <c r="C19" s="207"/>
      <c r="D19" s="193" t="s">
        <v>93</v>
      </c>
      <c r="E19" s="193">
        <v>1603011</v>
      </c>
      <c r="F19" s="193" t="s">
        <v>81</v>
      </c>
      <c r="G19" s="193" t="s">
        <v>135</v>
      </c>
      <c r="H19" s="193" t="s">
        <v>53</v>
      </c>
      <c r="I19" s="195"/>
      <c r="J19" s="197" t="s">
        <v>279</v>
      </c>
      <c r="K19" s="196"/>
      <c r="L19" s="214"/>
      <c r="M19" s="52"/>
      <c r="N19" s="210">
        <v>0.5</v>
      </c>
      <c r="O19" s="226"/>
      <c r="P19" s="226"/>
      <c r="Q19" s="217"/>
      <c r="R19" s="217"/>
      <c r="S19" s="214"/>
      <c r="T19" s="214"/>
      <c r="U19" s="214"/>
      <c r="V19" s="214"/>
      <c r="W19" s="226"/>
      <c r="X19" s="226"/>
      <c r="Y19" s="217"/>
      <c r="Z19" s="217"/>
      <c r="AA19" s="233" t="b">
        <f t="shared" si="4"/>
        <v>1</v>
      </c>
      <c r="AB19" s="234" t="e">
        <f t="shared" si="0"/>
        <v>#DIV/0!</v>
      </c>
      <c r="AC19" s="235" t="e">
        <f t="shared" si="1"/>
        <v>#DIV/0!</v>
      </c>
      <c r="AD19" s="235" t="b">
        <f t="shared" si="2"/>
        <v>1</v>
      </c>
    </row>
    <row r="20" spans="1:30" s="236" customFormat="1" ht="38.25" customHeight="1" x14ac:dyDescent="0.25">
      <c r="A20" s="222">
        <v>18</v>
      </c>
      <c r="B20" s="193" t="s">
        <v>137</v>
      </c>
      <c r="C20" s="207" t="s">
        <v>50</v>
      </c>
      <c r="D20" s="193" t="s">
        <v>93</v>
      </c>
      <c r="E20" s="193">
        <v>1603011</v>
      </c>
      <c r="F20" s="193" t="s">
        <v>81</v>
      </c>
      <c r="G20" s="193" t="s">
        <v>138</v>
      </c>
      <c r="H20" s="193" t="s">
        <v>58</v>
      </c>
      <c r="I20" s="195">
        <v>0.29799999999999999</v>
      </c>
      <c r="J20" s="197" t="s">
        <v>133</v>
      </c>
      <c r="K20" s="196">
        <v>2761128.78</v>
      </c>
      <c r="L20" s="214">
        <f t="shared" si="6"/>
        <v>1380564.39</v>
      </c>
      <c r="M20" s="52">
        <f t="shared" si="3"/>
        <v>1380564.39</v>
      </c>
      <c r="N20" s="210">
        <v>0.5</v>
      </c>
      <c r="O20" s="226">
        <v>0</v>
      </c>
      <c r="P20" s="226">
        <v>0</v>
      </c>
      <c r="Q20" s="217">
        <v>0</v>
      </c>
      <c r="R20" s="217">
        <v>0</v>
      </c>
      <c r="S20" s="214">
        <v>0</v>
      </c>
      <c r="T20" s="214">
        <f t="shared" si="7"/>
        <v>1380564.39</v>
      </c>
      <c r="U20" s="214">
        <v>0</v>
      </c>
      <c r="V20" s="214">
        <v>0</v>
      </c>
      <c r="W20" s="226">
        <v>0</v>
      </c>
      <c r="X20" s="226">
        <v>0</v>
      </c>
      <c r="Y20" s="217">
        <v>0</v>
      </c>
      <c r="Z20" s="217">
        <v>0</v>
      </c>
      <c r="AA20" s="233" t="b">
        <f t="shared" si="4"/>
        <v>1</v>
      </c>
      <c r="AB20" s="234">
        <f t="shared" ref="AB20:AB24" si="8">ROUND(L20/K20,4)</f>
        <v>0.5</v>
      </c>
      <c r="AC20" s="235" t="b">
        <f t="shared" ref="AC20:AC24" si="9">AB20=N20</f>
        <v>1</v>
      </c>
      <c r="AD20" s="235" t="b">
        <f t="shared" ref="AD20:AD24" si="10">K20=L20+M20</f>
        <v>1</v>
      </c>
    </row>
    <row r="21" spans="1:30" s="236" customFormat="1" ht="30" customHeight="1" x14ac:dyDescent="0.25">
      <c r="A21" s="222">
        <v>19</v>
      </c>
      <c r="B21" s="193" t="s">
        <v>139</v>
      </c>
      <c r="C21" s="207" t="s">
        <v>50</v>
      </c>
      <c r="D21" s="193" t="s">
        <v>140</v>
      </c>
      <c r="E21" s="193">
        <v>1605023</v>
      </c>
      <c r="F21" s="193" t="s">
        <v>141</v>
      </c>
      <c r="G21" s="193" t="s">
        <v>142</v>
      </c>
      <c r="H21" s="193" t="s">
        <v>58</v>
      </c>
      <c r="I21" s="193">
        <v>0.27700000000000002</v>
      </c>
      <c r="J21" s="197" t="s">
        <v>317</v>
      </c>
      <c r="K21" s="196">
        <v>919458.07</v>
      </c>
      <c r="L21" s="214">
        <f t="shared" si="6"/>
        <v>643620.64</v>
      </c>
      <c r="M21" s="52">
        <f t="shared" si="3"/>
        <v>275837.42999999993</v>
      </c>
      <c r="N21" s="211">
        <v>0.7</v>
      </c>
      <c r="O21" s="226">
        <v>0</v>
      </c>
      <c r="P21" s="226">
        <v>0</v>
      </c>
      <c r="Q21" s="217">
        <v>0</v>
      </c>
      <c r="R21" s="217">
        <v>0</v>
      </c>
      <c r="S21" s="214">
        <v>0</v>
      </c>
      <c r="T21" s="214">
        <f t="shared" si="7"/>
        <v>643620.64</v>
      </c>
      <c r="U21" s="214">
        <v>0</v>
      </c>
      <c r="V21" s="214">
        <v>0</v>
      </c>
      <c r="W21" s="226">
        <v>0</v>
      </c>
      <c r="X21" s="226">
        <v>0</v>
      </c>
      <c r="Y21" s="217">
        <v>0</v>
      </c>
      <c r="Z21" s="217">
        <v>0</v>
      </c>
      <c r="AA21" s="233" t="b">
        <f t="shared" si="4"/>
        <v>1</v>
      </c>
      <c r="AB21" s="234">
        <f t="shared" si="8"/>
        <v>0.7</v>
      </c>
      <c r="AC21" s="235" t="b">
        <f t="shared" si="9"/>
        <v>1</v>
      </c>
      <c r="AD21" s="235" t="b">
        <f t="shared" si="10"/>
        <v>1</v>
      </c>
    </row>
    <row r="22" spans="1:30" s="236" customFormat="1" ht="30" customHeight="1" x14ac:dyDescent="0.25">
      <c r="A22" s="222">
        <v>20</v>
      </c>
      <c r="B22" s="193" t="s">
        <v>143</v>
      </c>
      <c r="C22" s="207" t="s">
        <v>50</v>
      </c>
      <c r="D22" s="193" t="s">
        <v>120</v>
      </c>
      <c r="E22" s="193">
        <v>1609032</v>
      </c>
      <c r="F22" s="193" t="s">
        <v>85</v>
      </c>
      <c r="G22" s="193" t="s">
        <v>144</v>
      </c>
      <c r="H22" s="193" t="s">
        <v>66</v>
      </c>
      <c r="I22" s="195">
        <v>0.23698</v>
      </c>
      <c r="J22" s="197" t="s">
        <v>318</v>
      </c>
      <c r="K22" s="196">
        <v>418658.86</v>
      </c>
      <c r="L22" s="214">
        <f t="shared" si="6"/>
        <v>293061.2</v>
      </c>
      <c r="M22" s="52">
        <f t="shared" si="3"/>
        <v>125597.65999999997</v>
      </c>
      <c r="N22" s="210">
        <v>0.7</v>
      </c>
      <c r="O22" s="226">
        <v>0</v>
      </c>
      <c r="P22" s="226">
        <v>0</v>
      </c>
      <c r="Q22" s="217">
        <v>0</v>
      </c>
      <c r="R22" s="217">
        <v>0</v>
      </c>
      <c r="S22" s="214">
        <v>0</v>
      </c>
      <c r="T22" s="214">
        <f t="shared" si="7"/>
        <v>293061.2</v>
      </c>
      <c r="U22" s="214">
        <v>0</v>
      </c>
      <c r="V22" s="214">
        <v>0</v>
      </c>
      <c r="W22" s="226">
        <v>0</v>
      </c>
      <c r="X22" s="226">
        <v>0</v>
      </c>
      <c r="Y22" s="217">
        <v>0</v>
      </c>
      <c r="Z22" s="217">
        <v>0</v>
      </c>
      <c r="AA22" s="233" t="b">
        <f t="shared" si="4"/>
        <v>1</v>
      </c>
      <c r="AB22" s="234">
        <f t="shared" si="8"/>
        <v>0.7</v>
      </c>
      <c r="AC22" s="235" t="b">
        <f t="shared" si="9"/>
        <v>1</v>
      </c>
      <c r="AD22" s="235" t="b">
        <f t="shared" si="10"/>
        <v>1</v>
      </c>
    </row>
    <row r="23" spans="1:30" s="242" customFormat="1" ht="30" customHeight="1" x14ac:dyDescent="0.25">
      <c r="A23" s="220">
        <v>21</v>
      </c>
      <c r="B23" s="198" t="s">
        <v>145</v>
      </c>
      <c r="C23" s="205" t="s">
        <v>60</v>
      </c>
      <c r="D23" s="198" t="s">
        <v>146</v>
      </c>
      <c r="E23" s="198">
        <v>1610043</v>
      </c>
      <c r="F23" s="198" t="s">
        <v>147</v>
      </c>
      <c r="G23" s="198" t="s">
        <v>148</v>
      </c>
      <c r="H23" s="198" t="s">
        <v>58</v>
      </c>
      <c r="I23" s="199">
        <v>1.24634</v>
      </c>
      <c r="J23" s="200" t="s">
        <v>149</v>
      </c>
      <c r="K23" s="203">
        <v>6262790.71</v>
      </c>
      <c r="L23" s="212">
        <f t="shared" si="6"/>
        <v>5010232.5599999996</v>
      </c>
      <c r="M23" s="204">
        <f t="shared" si="3"/>
        <v>1252558.1500000004</v>
      </c>
      <c r="N23" s="209">
        <v>0.8</v>
      </c>
      <c r="O23" s="225">
        <v>0</v>
      </c>
      <c r="P23" s="225">
        <v>0</v>
      </c>
      <c r="Q23" s="216">
        <v>0</v>
      </c>
      <c r="R23" s="216">
        <v>0</v>
      </c>
      <c r="S23" s="212">
        <v>0</v>
      </c>
      <c r="T23" s="212">
        <f>ROUNDDOWN(N23*3879074.69,2)</f>
        <v>3103259.75</v>
      </c>
      <c r="U23" s="212">
        <f>L23-T23</f>
        <v>1906972.8099999996</v>
      </c>
      <c r="V23" s="212">
        <v>0</v>
      </c>
      <c r="W23" s="225">
        <v>0</v>
      </c>
      <c r="X23" s="225">
        <v>0</v>
      </c>
      <c r="Y23" s="216">
        <v>0</v>
      </c>
      <c r="Z23" s="216">
        <v>0</v>
      </c>
      <c r="AA23" s="239" t="b">
        <f t="shared" si="4"/>
        <v>1</v>
      </c>
      <c r="AB23" s="240">
        <f t="shared" si="8"/>
        <v>0.8</v>
      </c>
      <c r="AC23" s="241" t="b">
        <f t="shared" si="9"/>
        <v>1</v>
      </c>
      <c r="AD23" s="241" t="b">
        <f t="shared" si="10"/>
        <v>1</v>
      </c>
    </row>
    <row r="24" spans="1:30" s="242" customFormat="1" ht="30" customHeight="1" x14ac:dyDescent="0.25">
      <c r="A24" s="220">
        <v>22</v>
      </c>
      <c r="B24" s="198" t="s">
        <v>150</v>
      </c>
      <c r="C24" s="205" t="s">
        <v>60</v>
      </c>
      <c r="D24" s="198" t="s">
        <v>104</v>
      </c>
      <c r="E24" s="198">
        <v>1601033</v>
      </c>
      <c r="F24" s="198" t="s">
        <v>105</v>
      </c>
      <c r="G24" s="198" t="s">
        <v>151</v>
      </c>
      <c r="H24" s="198" t="s">
        <v>66</v>
      </c>
      <c r="I24" s="199">
        <v>0.32</v>
      </c>
      <c r="J24" s="200" t="s">
        <v>305</v>
      </c>
      <c r="K24" s="203">
        <v>3480762.95</v>
      </c>
      <c r="L24" s="212">
        <f t="shared" si="6"/>
        <v>2088457.77</v>
      </c>
      <c r="M24" s="204">
        <f t="shared" si="3"/>
        <v>1392305.1800000002</v>
      </c>
      <c r="N24" s="209">
        <v>0.6</v>
      </c>
      <c r="O24" s="225">
        <v>0</v>
      </c>
      <c r="P24" s="225">
        <v>0</v>
      </c>
      <c r="Q24" s="216">
        <v>0</v>
      </c>
      <c r="R24" s="216">
        <v>0</v>
      </c>
      <c r="S24" s="212">
        <v>0</v>
      </c>
      <c r="T24" s="212">
        <f>ROUNDDOWN(N24*1016017.85,2)</f>
        <v>609610.71</v>
      </c>
      <c r="U24" s="212">
        <f>L24-T24</f>
        <v>1478847.06</v>
      </c>
      <c r="V24" s="212">
        <v>0</v>
      </c>
      <c r="W24" s="225">
        <v>0</v>
      </c>
      <c r="X24" s="225">
        <v>0</v>
      </c>
      <c r="Y24" s="216">
        <v>0</v>
      </c>
      <c r="Z24" s="216">
        <v>0</v>
      </c>
      <c r="AA24" s="239" t="b">
        <f t="shared" si="4"/>
        <v>1</v>
      </c>
      <c r="AB24" s="240">
        <f t="shared" si="8"/>
        <v>0.6</v>
      </c>
      <c r="AC24" s="241" t="b">
        <f t="shared" si="9"/>
        <v>1</v>
      </c>
      <c r="AD24" s="241" t="b">
        <f t="shared" si="10"/>
        <v>1</v>
      </c>
    </row>
    <row r="25" spans="1:30" s="236" customFormat="1" ht="30" customHeight="1" x14ac:dyDescent="0.25">
      <c r="A25" s="222">
        <v>23</v>
      </c>
      <c r="B25" s="193" t="s">
        <v>152</v>
      </c>
      <c r="C25" s="207" t="s">
        <v>50</v>
      </c>
      <c r="D25" s="193" t="s">
        <v>153</v>
      </c>
      <c r="E25" s="193">
        <v>1609022</v>
      </c>
      <c r="F25" s="193" t="s">
        <v>85</v>
      </c>
      <c r="G25" s="193" t="s">
        <v>154</v>
      </c>
      <c r="H25" s="193" t="s">
        <v>58</v>
      </c>
      <c r="I25" s="195">
        <v>0.50900000000000001</v>
      </c>
      <c r="J25" s="197" t="s">
        <v>319</v>
      </c>
      <c r="K25" s="196">
        <v>890287.41</v>
      </c>
      <c r="L25" s="214">
        <f t="shared" si="6"/>
        <v>534172.43999999994</v>
      </c>
      <c r="M25" s="52">
        <f t="shared" si="3"/>
        <v>356114.97000000009</v>
      </c>
      <c r="N25" s="210">
        <v>0.6</v>
      </c>
      <c r="O25" s="226">
        <v>0</v>
      </c>
      <c r="P25" s="226">
        <v>0</v>
      </c>
      <c r="Q25" s="217">
        <v>0</v>
      </c>
      <c r="R25" s="217">
        <v>0</v>
      </c>
      <c r="S25" s="214">
        <v>0</v>
      </c>
      <c r="T25" s="214">
        <f t="shared" ref="T25:T33" si="11">L25</f>
        <v>534172.43999999994</v>
      </c>
      <c r="U25" s="214">
        <v>0</v>
      </c>
      <c r="V25" s="214">
        <v>0</v>
      </c>
      <c r="W25" s="226">
        <v>0</v>
      </c>
      <c r="X25" s="226">
        <v>0</v>
      </c>
      <c r="Y25" s="217">
        <v>0</v>
      </c>
      <c r="Z25" s="217">
        <v>0</v>
      </c>
      <c r="AA25" s="233" t="b">
        <f t="shared" ref="AA25:AA40" si="12">L25=SUM(O25:Z25)</f>
        <v>1</v>
      </c>
      <c r="AB25" s="234">
        <f t="shared" ref="AB25:AB40" si="13">ROUND(L25/K25,4)</f>
        <v>0.6</v>
      </c>
      <c r="AC25" s="235" t="b">
        <f t="shared" ref="AC25:AC40" si="14">AB25=N25</f>
        <v>1</v>
      </c>
      <c r="AD25" s="235" t="b">
        <f t="shared" ref="AD25:AD40" si="15">K25=L25+M25</f>
        <v>1</v>
      </c>
    </row>
    <row r="26" spans="1:30" s="236" customFormat="1" ht="30" customHeight="1" x14ac:dyDescent="0.25">
      <c r="A26" s="222">
        <v>24</v>
      </c>
      <c r="B26" s="193" t="s">
        <v>155</v>
      </c>
      <c r="C26" s="207" t="s">
        <v>50</v>
      </c>
      <c r="D26" s="193" t="s">
        <v>104</v>
      </c>
      <c r="E26" s="193">
        <v>1601033</v>
      </c>
      <c r="F26" s="193" t="s">
        <v>105</v>
      </c>
      <c r="G26" s="193" t="s">
        <v>156</v>
      </c>
      <c r="H26" s="193" t="s">
        <v>58</v>
      </c>
      <c r="I26" s="195">
        <v>0.3054</v>
      </c>
      <c r="J26" s="197" t="s">
        <v>54</v>
      </c>
      <c r="K26" s="196">
        <v>2121843.56</v>
      </c>
      <c r="L26" s="214">
        <f t="shared" si="6"/>
        <v>1273106.1299999999</v>
      </c>
      <c r="M26" s="52">
        <f t="shared" si="3"/>
        <v>848737.43000000017</v>
      </c>
      <c r="N26" s="210">
        <v>0.6</v>
      </c>
      <c r="O26" s="226">
        <v>0</v>
      </c>
      <c r="P26" s="226">
        <v>0</v>
      </c>
      <c r="Q26" s="217">
        <v>0</v>
      </c>
      <c r="R26" s="217">
        <v>0</v>
      </c>
      <c r="S26" s="214">
        <v>0</v>
      </c>
      <c r="T26" s="214">
        <f t="shared" si="11"/>
        <v>1273106.1299999999</v>
      </c>
      <c r="U26" s="214">
        <v>0</v>
      </c>
      <c r="V26" s="214">
        <v>0</v>
      </c>
      <c r="W26" s="226">
        <v>0</v>
      </c>
      <c r="X26" s="226">
        <v>0</v>
      </c>
      <c r="Y26" s="217">
        <v>0</v>
      </c>
      <c r="Z26" s="217">
        <v>0</v>
      </c>
      <c r="AA26" s="233" t="b">
        <f t="shared" si="12"/>
        <v>1</v>
      </c>
      <c r="AB26" s="234">
        <f t="shared" si="13"/>
        <v>0.6</v>
      </c>
      <c r="AC26" s="235" t="b">
        <f t="shared" si="14"/>
        <v>1</v>
      </c>
      <c r="AD26" s="235" t="b">
        <f t="shared" si="15"/>
        <v>1</v>
      </c>
    </row>
    <row r="27" spans="1:30" s="236" customFormat="1" ht="36.75" customHeight="1" x14ac:dyDescent="0.25">
      <c r="A27" s="222">
        <v>25</v>
      </c>
      <c r="B27" s="193" t="s">
        <v>157</v>
      </c>
      <c r="C27" s="207" t="s">
        <v>50</v>
      </c>
      <c r="D27" s="193" t="s">
        <v>140</v>
      </c>
      <c r="E27" s="193">
        <v>1605023</v>
      </c>
      <c r="F27" s="193" t="s">
        <v>141</v>
      </c>
      <c r="G27" s="193" t="s">
        <v>158</v>
      </c>
      <c r="H27" s="193" t="s">
        <v>66</v>
      </c>
      <c r="I27" s="195">
        <v>0.09</v>
      </c>
      <c r="J27" s="197" t="s">
        <v>283</v>
      </c>
      <c r="K27" s="196">
        <v>756834.06</v>
      </c>
      <c r="L27" s="214">
        <v>529486.74</v>
      </c>
      <c r="M27" s="52">
        <f t="shared" si="3"/>
        <v>227347.32000000007</v>
      </c>
      <c r="N27" s="243">
        <v>0.6996</v>
      </c>
      <c r="O27" s="226">
        <v>0</v>
      </c>
      <c r="P27" s="226">
        <v>0</v>
      </c>
      <c r="Q27" s="217">
        <v>0</v>
      </c>
      <c r="R27" s="217">
        <v>0</v>
      </c>
      <c r="S27" s="214">
        <v>0</v>
      </c>
      <c r="T27" s="214">
        <f t="shared" si="11"/>
        <v>529486.74</v>
      </c>
      <c r="U27" s="214">
        <v>0</v>
      </c>
      <c r="V27" s="214">
        <v>0</v>
      </c>
      <c r="W27" s="226">
        <v>0</v>
      </c>
      <c r="X27" s="226">
        <v>0</v>
      </c>
      <c r="Y27" s="217">
        <v>0</v>
      </c>
      <c r="Z27" s="217">
        <v>0</v>
      </c>
      <c r="AA27" s="233" t="b">
        <f t="shared" si="12"/>
        <v>1</v>
      </c>
      <c r="AB27" s="234">
        <f t="shared" si="13"/>
        <v>0.6996</v>
      </c>
      <c r="AC27" s="235" t="b">
        <f t="shared" si="14"/>
        <v>1</v>
      </c>
      <c r="AD27" s="235" t="b">
        <f t="shared" si="15"/>
        <v>1</v>
      </c>
    </row>
    <row r="28" spans="1:30" s="236" customFormat="1" ht="30" customHeight="1" x14ac:dyDescent="0.25">
      <c r="A28" s="222">
        <v>26</v>
      </c>
      <c r="B28" s="193" t="s">
        <v>159</v>
      </c>
      <c r="C28" s="207" t="s">
        <v>50</v>
      </c>
      <c r="D28" s="193" t="s">
        <v>160</v>
      </c>
      <c r="E28" s="193">
        <v>1608052</v>
      </c>
      <c r="F28" s="193" t="s">
        <v>112</v>
      </c>
      <c r="G28" s="193" t="s">
        <v>161</v>
      </c>
      <c r="H28" s="193" t="s">
        <v>58</v>
      </c>
      <c r="I28" s="195">
        <v>1.3120000000000001</v>
      </c>
      <c r="J28" s="197" t="s">
        <v>306</v>
      </c>
      <c r="K28" s="196">
        <v>3063417.78</v>
      </c>
      <c r="L28" s="214">
        <f t="shared" si="6"/>
        <v>1838050.66</v>
      </c>
      <c r="M28" s="52">
        <f t="shared" si="3"/>
        <v>1225367.1199999999</v>
      </c>
      <c r="N28" s="210">
        <v>0.6</v>
      </c>
      <c r="O28" s="226">
        <v>0</v>
      </c>
      <c r="P28" s="226">
        <v>0</v>
      </c>
      <c r="Q28" s="217">
        <v>0</v>
      </c>
      <c r="R28" s="217">
        <v>0</v>
      </c>
      <c r="S28" s="214">
        <v>0</v>
      </c>
      <c r="T28" s="214">
        <f t="shared" si="11"/>
        <v>1838050.66</v>
      </c>
      <c r="U28" s="214">
        <v>0</v>
      </c>
      <c r="V28" s="214">
        <v>0</v>
      </c>
      <c r="W28" s="226">
        <v>0</v>
      </c>
      <c r="X28" s="226">
        <v>0</v>
      </c>
      <c r="Y28" s="217">
        <v>0</v>
      </c>
      <c r="Z28" s="217">
        <v>0</v>
      </c>
      <c r="AA28" s="233" t="b">
        <f t="shared" si="12"/>
        <v>1</v>
      </c>
      <c r="AB28" s="234">
        <f t="shared" si="13"/>
        <v>0.6</v>
      </c>
      <c r="AC28" s="235" t="b">
        <f t="shared" si="14"/>
        <v>1</v>
      </c>
      <c r="AD28" s="235" t="b">
        <f t="shared" si="15"/>
        <v>1</v>
      </c>
    </row>
    <row r="29" spans="1:30" s="236" customFormat="1" ht="30" customHeight="1" x14ac:dyDescent="0.25">
      <c r="A29" s="222">
        <v>27</v>
      </c>
      <c r="B29" s="193" t="s">
        <v>162</v>
      </c>
      <c r="C29" s="207" t="s">
        <v>50</v>
      </c>
      <c r="D29" s="193" t="s">
        <v>163</v>
      </c>
      <c r="E29" s="193">
        <v>1608013</v>
      </c>
      <c r="F29" s="193" t="s">
        <v>112</v>
      </c>
      <c r="G29" s="193" t="s">
        <v>164</v>
      </c>
      <c r="H29" s="193" t="s">
        <v>58</v>
      </c>
      <c r="I29" s="195">
        <v>0.32100000000000001</v>
      </c>
      <c r="J29" s="197" t="s">
        <v>317</v>
      </c>
      <c r="K29" s="196">
        <v>2118569.56</v>
      </c>
      <c r="L29" s="214">
        <f t="shared" si="6"/>
        <v>1482998.69</v>
      </c>
      <c r="M29" s="52">
        <f t="shared" si="3"/>
        <v>635570.87000000011</v>
      </c>
      <c r="N29" s="210">
        <v>0.7</v>
      </c>
      <c r="O29" s="226">
        <v>0</v>
      </c>
      <c r="P29" s="226">
        <v>0</v>
      </c>
      <c r="Q29" s="217">
        <v>0</v>
      </c>
      <c r="R29" s="217">
        <v>0</v>
      </c>
      <c r="S29" s="214">
        <v>0</v>
      </c>
      <c r="T29" s="214">
        <f t="shared" si="11"/>
        <v>1482998.69</v>
      </c>
      <c r="U29" s="214">
        <v>0</v>
      </c>
      <c r="V29" s="214">
        <v>0</v>
      </c>
      <c r="W29" s="226">
        <v>0</v>
      </c>
      <c r="X29" s="226">
        <v>0</v>
      </c>
      <c r="Y29" s="217">
        <v>0</v>
      </c>
      <c r="Z29" s="217">
        <v>0</v>
      </c>
      <c r="AA29" s="233" t="b">
        <f t="shared" si="12"/>
        <v>1</v>
      </c>
      <c r="AB29" s="234">
        <f t="shared" si="13"/>
        <v>0.7</v>
      </c>
      <c r="AC29" s="235" t="b">
        <f t="shared" si="14"/>
        <v>1</v>
      </c>
      <c r="AD29" s="235" t="b">
        <f t="shared" si="15"/>
        <v>1</v>
      </c>
    </row>
    <row r="30" spans="1:30" s="236" customFormat="1" ht="30" customHeight="1" x14ac:dyDescent="0.25">
      <c r="A30" s="222">
        <v>28</v>
      </c>
      <c r="B30" s="193" t="s">
        <v>165</v>
      </c>
      <c r="C30" s="207" t="s">
        <v>50</v>
      </c>
      <c r="D30" s="193" t="s">
        <v>166</v>
      </c>
      <c r="E30" s="193">
        <v>1604043</v>
      </c>
      <c r="F30" s="193" t="s">
        <v>61</v>
      </c>
      <c r="G30" s="193" t="s">
        <v>167</v>
      </c>
      <c r="H30" s="193" t="s">
        <v>58</v>
      </c>
      <c r="I30" s="195">
        <v>0.78042999999999996</v>
      </c>
      <c r="J30" s="197" t="s">
        <v>320</v>
      </c>
      <c r="K30" s="196">
        <v>836059.69</v>
      </c>
      <c r="L30" s="214">
        <f t="shared" si="6"/>
        <v>585241.78</v>
      </c>
      <c r="M30" s="52">
        <f t="shared" si="3"/>
        <v>250817.90999999992</v>
      </c>
      <c r="N30" s="211">
        <v>0.7</v>
      </c>
      <c r="O30" s="226">
        <v>0</v>
      </c>
      <c r="P30" s="226">
        <v>0</v>
      </c>
      <c r="Q30" s="217">
        <v>0</v>
      </c>
      <c r="R30" s="217">
        <v>0</v>
      </c>
      <c r="S30" s="214">
        <v>0</v>
      </c>
      <c r="T30" s="214">
        <f t="shared" si="11"/>
        <v>585241.78</v>
      </c>
      <c r="U30" s="214">
        <v>0</v>
      </c>
      <c r="V30" s="214">
        <v>0</v>
      </c>
      <c r="W30" s="226">
        <v>0</v>
      </c>
      <c r="X30" s="226">
        <v>0</v>
      </c>
      <c r="Y30" s="217">
        <v>0</v>
      </c>
      <c r="Z30" s="217">
        <v>0</v>
      </c>
      <c r="AA30" s="233" t="b">
        <f t="shared" si="12"/>
        <v>1</v>
      </c>
      <c r="AB30" s="234">
        <f t="shared" si="13"/>
        <v>0.7</v>
      </c>
      <c r="AC30" s="235" t="b">
        <f t="shared" si="14"/>
        <v>1</v>
      </c>
      <c r="AD30" s="235" t="b">
        <f t="shared" si="15"/>
        <v>1</v>
      </c>
    </row>
    <row r="31" spans="1:30" s="236" customFormat="1" ht="35.25" customHeight="1" x14ac:dyDescent="0.25">
      <c r="A31" s="222">
        <v>29</v>
      </c>
      <c r="B31" s="193" t="s">
        <v>169</v>
      </c>
      <c r="C31" s="207" t="s">
        <v>50</v>
      </c>
      <c r="D31" s="193" t="s">
        <v>170</v>
      </c>
      <c r="E31" s="193">
        <v>1603022</v>
      </c>
      <c r="F31" s="193" t="s">
        <v>81</v>
      </c>
      <c r="G31" s="193" t="s">
        <v>171</v>
      </c>
      <c r="H31" s="193" t="s">
        <v>58</v>
      </c>
      <c r="I31" s="195">
        <v>0.67569999999999997</v>
      </c>
      <c r="J31" s="197" t="s">
        <v>320</v>
      </c>
      <c r="K31" s="196">
        <v>964000</v>
      </c>
      <c r="L31" s="214">
        <f t="shared" si="6"/>
        <v>578400</v>
      </c>
      <c r="M31" s="52">
        <f t="shared" si="3"/>
        <v>385600</v>
      </c>
      <c r="N31" s="210">
        <v>0.6</v>
      </c>
      <c r="O31" s="226">
        <v>0</v>
      </c>
      <c r="P31" s="226">
        <v>0</v>
      </c>
      <c r="Q31" s="217">
        <v>0</v>
      </c>
      <c r="R31" s="217">
        <v>0</v>
      </c>
      <c r="S31" s="214">
        <v>0</v>
      </c>
      <c r="T31" s="214">
        <f t="shared" si="11"/>
        <v>578400</v>
      </c>
      <c r="U31" s="214">
        <v>0</v>
      </c>
      <c r="V31" s="214">
        <v>0</v>
      </c>
      <c r="W31" s="226">
        <v>0</v>
      </c>
      <c r="X31" s="226">
        <v>0</v>
      </c>
      <c r="Y31" s="217">
        <v>0</v>
      </c>
      <c r="Z31" s="217">
        <v>0</v>
      </c>
      <c r="AA31" s="233" t="b">
        <f t="shared" si="12"/>
        <v>1</v>
      </c>
      <c r="AB31" s="234">
        <f t="shared" si="13"/>
        <v>0.6</v>
      </c>
      <c r="AC31" s="235" t="b">
        <f t="shared" si="14"/>
        <v>1</v>
      </c>
      <c r="AD31" s="235" t="b">
        <f t="shared" si="15"/>
        <v>1</v>
      </c>
    </row>
    <row r="32" spans="1:30" s="236" customFormat="1" ht="30" customHeight="1" x14ac:dyDescent="0.25">
      <c r="A32" s="222">
        <v>30</v>
      </c>
      <c r="B32" s="193" t="s">
        <v>173</v>
      </c>
      <c r="C32" s="207" t="s">
        <v>50</v>
      </c>
      <c r="D32" s="193" t="s">
        <v>174</v>
      </c>
      <c r="E32" s="193">
        <v>1604023</v>
      </c>
      <c r="F32" s="193" t="s">
        <v>61</v>
      </c>
      <c r="G32" s="193" t="s">
        <v>307</v>
      </c>
      <c r="H32" s="193" t="s">
        <v>53</v>
      </c>
      <c r="I32" s="195">
        <v>0.25600000000000001</v>
      </c>
      <c r="J32" s="197" t="s">
        <v>321</v>
      </c>
      <c r="K32" s="196">
        <v>565335.22</v>
      </c>
      <c r="L32" s="214">
        <f t="shared" si="6"/>
        <v>452268.17</v>
      </c>
      <c r="M32" s="52">
        <f t="shared" si="3"/>
        <v>113067.04999999999</v>
      </c>
      <c r="N32" s="210">
        <v>0.8</v>
      </c>
      <c r="O32" s="226">
        <v>0</v>
      </c>
      <c r="P32" s="226">
        <v>0</v>
      </c>
      <c r="Q32" s="217">
        <v>0</v>
      </c>
      <c r="R32" s="217">
        <v>0</v>
      </c>
      <c r="S32" s="214">
        <v>0</v>
      </c>
      <c r="T32" s="214">
        <f t="shared" si="11"/>
        <v>452268.17</v>
      </c>
      <c r="U32" s="214">
        <v>0</v>
      </c>
      <c r="V32" s="214">
        <v>0</v>
      </c>
      <c r="W32" s="226">
        <v>0</v>
      </c>
      <c r="X32" s="226">
        <v>0</v>
      </c>
      <c r="Y32" s="217">
        <v>0</v>
      </c>
      <c r="Z32" s="217">
        <v>0</v>
      </c>
      <c r="AA32" s="233" t="b">
        <f t="shared" si="12"/>
        <v>1</v>
      </c>
      <c r="AB32" s="234">
        <f t="shared" si="13"/>
        <v>0.8</v>
      </c>
      <c r="AC32" s="235" t="b">
        <f t="shared" si="14"/>
        <v>1</v>
      </c>
      <c r="AD32" s="235" t="b">
        <f t="shared" si="15"/>
        <v>1</v>
      </c>
    </row>
    <row r="33" spans="1:30" s="236" customFormat="1" ht="30" customHeight="1" x14ac:dyDescent="0.25">
      <c r="A33" s="222">
        <v>31</v>
      </c>
      <c r="B33" s="193" t="s">
        <v>175</v>
      </c>
      <c r="C33" s="207" t="s">
        <v>50</v>
      </c>
      <c r="D33" s="193" t="s">
        <v>176</v>
      </c>
      <c r="E33" s="193">
        <v>1611053</v>
      </c>
      <c r="F33" s="193" t="s">
        <v>64</v>
      </c>
      <c r="G33" s="193" t="s">
        <v>177</v>
      </c>
      <c r="H33" s="193" t="s">
        <v>58</v>
      </c>
      <c r="I33" s="195">
        <v>0.41399999999999998</v>
      </c>
      <c r="J33" s="197" t="s">
        <v>54</v>
      </c>
      <c r="K33" s="196">
        <v>7137116.54</v>
      </c>
      <c r="L33" s="214">
        <f t="shared" si="6"/>
        <v>4282269.92</v>
      </c>
      <c r="M33" s="52">
        <f t="shared" si="3"/>
        <v>2854846.62</v>
      </c>
      <c r="N33" s="210">
        <v>0.6</v>
      </c>
      <c r="O33" s="226">
        <v>0</v>
      </c>
      <c r="P33" s="226">
        <v>0</v>
      </c>
      <c r="Q33" s="217">
        <v>0</v>
      </c>
      <c r="R33" s="217">
        <v>0</v>
      </c>
      <c r="S33" s="214">
        <v>0</v>
      </c>
      <c r="T33" s="214">
        <f t="shared" si="11"/>
        <v>4282269.92</v>
      </c>
      <c r="U33" s="214">
        <v>0</v>
      </c>
      <c r="V33" s="214">
        <v>0</v>
      </c>
      <c r="W33" s="226">
        <v>0</v>
      </c>
      <c r="X33" s="226">
        <v>0</v>
      </c>
      <c r="Y33" s="217">
        <v>0</v>
      </c>
      <c r="Z33" s="217">
        <v>0</v>
      </c>
      <c r="AA33" s="233" t="b">
        <f t="shared" si="12"/>
        <v>1</v>
      </c>
      <c r="AB33" s="234">
        <f t="shared" si="13"/>
        <v>0.6</v>
      </c>
      <c r="AC33" s="235" t="b">
        <f t="shared" si="14"/>
        <v>1</v>
      </c>
      <c r="AD33" s="235" t="b">
        <f t="shared" si="15"/>
        <v>1</v>
      </c>
    </row>
    <row r="34" spans="1:30" s="242" customFormat="1" ht="30" customHeight="1" x14ac:dyDescent="0.25">
      <c r="A34" s="220">
        <v>32</v>
      </c>
      <c r="B34" s="198" t="s">
        <v>178</v>
      </c>
      <c r="C34" s="198" t="s">
        <v>60</v>
      </c>
      <c r="D34" s="198" t="s">
        <v>129</v>
      </c>
      <c r="E34" s="206">
        <v>1601011</v>
      </c>
      <c r="F34" s="198" t="s">
        <v>105</v>
      </c>
      <c r="G34" s="198" t="s">
        <v>179</v>
      </c>
      <c r="H34" s="198" t="s">
        <v>66</v>
      </c>
      <c r="I34" s="199">
        <v>0.13800000000000001</v>
      </c>
      <c r="J34" s="200" t="s">
        <v>308</v>
      </c>
      <c r="K34" s="203">
        <v>1792057.19</v>
      </c>
      <c r="L34" s="212">
        <f t="shared" si="6"/>
        <v>1433645.75</v>
      </c>
      <c r="M34" s="204">
        <f t="shared" si="3"/>
        <v>358411.43999999994</v>
      </c>
      <c r="N34" s="209">
        <v>0.8</v>
      </c>
      <c r="O34" s="225">
        <v>0</v>
      </c>
      <c r="P34" s="225">
        <v>0</v>
      </c>
      <c r="Q34" s="216">
        <v>0</v>
      </c>
      <c r="R34" s="216">
        <v>0</v>
      </c>
      <c r="S34" s="212">
        <v>0</v>
      </c>
      <c r="T34" s="212">
        <f>ROUNDDOWN(N34*1381800.67,2)</f>
        <v>1105440.53</v>
      </c>
      <c r="U34" s="212">
        <f>L34-T34</f>
        <v>328205.21999999997</v>
      </c>
      <c r="V34" s="212">
        <v>0</v>
      </c>
      <c r="W34" s="225">
        <v>0</v>
      </c>
      <c r="X34" s="225">
        <v>0</v>
      </c>
      <c r="Y34" s="216">
        <v>0</v>
      </c>
      <c r="Z34" s="216">
        <v>0</v>
      </c>
      <c r="AA34" s="239" t="b">
        <f t="shared" si="12"/>
        <v>1</v>
      </c>
      <c r="AB34" s="240">
        <f t="shared" si="13"/>
        <v>0.8</v>
      </c>
      <c r="AC34" s="241" t="b">
        <f t="shared" si="14"/>
        <v>1</v>
      </c>
      <c r="AD34" s="241" t="b">
        <f t="shared" si="15"/>
        <v>1</v>
      </c>
    </row>
    <row r="35" spans="1:30" s="236" customFormat="1" ht="36.75" customHeight="1" x14ac:dyDescent="0.25">
      <c r="A35" s="222">
        <v>33</v>
      </c>
      <c r="B35" s="193" t="s">
        <v>180</v>
      </c>
      <c r="C35" s="207" t="s">
        <v>50</v>
      </c>
      <c r="D35" s="193" t="s">
        <v>80</v>
      </c>
      <c r="E35" s="193">
        <v>1603062</v>
      </c>
      <c r="F35" s="193" t="s">
        <v>81</v>
      </c>
      <c r="G35" s="193" t="s">
        <v>181</v>
      </c>
      <c r="H35" s="193" t="s">
        <v>66</v>
      </c>
      <c r="I35" s="195">
        <v>0.33100000000000002</v>
      </c>
      <c r="J35" s="197" t="s">
        <v>182</v>
      </c>
      <c r="K35" s="196">
        <v>1196165.6599999999</v>
      </c>
      <c r="L35" s="214">
        <f t="shared" si="6"/>
        <v>837315.96</v>
      </c>
      <c r="M35" s="52">
        <f t="shared" si="3"/>
        <v>358849.69999999995</v>
      </c>
      <c r="N35" s="210">
        <v>0.7</v>
      </c>
      <c r="O35" s="226">
        <v>0</v>
      </c>
      <c r="P35" s="226">
        <v>0</v>
      </c>
      <c r="Q35" s="217">
        <v>0</v>
      </c>
      <c r="R35" s="217">
        <v>0</v>
      </c>
      <c r="S35" s="214">
        <v>0</v>
      </c>
      <c r="T35" s="214">
        <f>L35</f>
        <v>837315.96</v>
      </c>
      <c r="U35" s="214">
        <v>0</v>
      </c>
      <c r="V35" s="214">
        <v>0</v>
      </c>
      <c r="W35" s="226">
        <v>0</v>
      </c>
      <c r="X35" s="226">
        <v>0</v>
      </c>
      <c r="Y35" s="217">
        <v>0</v>
      </c>
      <c r="Z35" s="217">
        <v>0</v>
      </c>
      <c r="AA35" s="233" t="b">
        <f t="shared" si="12"/>
        <v>1</v>
      </c>
      <c r="AB35" s="234">
        <f t="shared" si="13"/>
        <v>0.7</v>
      </c>
      <c r="AC35" s="235" t="b">
        <f t="shared" si="14"/>
        <v>1</v>
      </c>
      <c r="AD35" s="235" t="b">
        <f t="shared" si="15"/>
        <v>1</v>
      </c>
    </row>
    <row r="36" spans="1:30" s="236" customFormat="1" ht="38.25" customHeight="1" x14ac:dyDescent="0.25">
      <c r="A36" s="222">
        <v>34</v>
      </c>
      <c r="B36" s="193" t="s">
        <v>183</v>
      </c>
      <c r="C36" s="207" t="s">
        <v>50</v>
      </c>
      <c r="D36" s="193" t="s">
        <v>184</v>
      </c>
      <c r="E36" s="258">
        <v>1605013</v>
      </c>
      <c r="F36" s="193" t="s">
        <v>68</v>
      </c>
      <c r="G36" s="193" t="s">
        <v>185</v>
      </c>
      <c r="H36" s="193" t="s">
        <v>66</v>
      </c>
      <c r="I36" s="195">
        <v>0.13500000000000001</v>
      </c>
      <c r="J36" s="197" t="s">
        <v>208</v>
      </c>
      <c r="K36" s="196">
        <v>597460.19999999995</v>
      </c>
      <c r="L36" s="214">
        <f t="shared" si="6"/>
        <v>298730.09999999998</v>
      </c>
      <c r="M36" s="52">
        <f t="shared" si="3"/>
        <v>298730.09999999998</v>
      </c>
      <c r="N36" s="210">
        <v>0.5</v>
      </c>
      <c r="O36" s="226">
        <v>0</v>
      </c>
      <c r="P36" s="226">
        <v>0</v>
      </c>
      <c r="Q36" s="217">
        <v>0</v>
      </c>
      <c r="R36" s="217">
        <v>0</v>
      </c>
      <c r="S36" s="214">
        <v>0</v>
      </c>
      <c r="T36" s="214">
        <f>L36</f>
        <v>298730.09999999998</v>
      </c>
      <c r="U36" s="214">
        <v>0</v>
      </c>
      <c r="V36" s="214">
        <v>0</v>
      </c>
      <c r="W36" s="226">
        <v>0</v>
      </c>
      <c r="X36" s="226">
        <v>0</v>
      </c>
      <c r="Y36" s="217">
        <v>0</v>
      </c>
      <c r="Z36" s="217">
        <v>0</v>
      </c>
      <c r="AA36" s="233" t="b">
        <f t="shared" si="12"/>
        <v>1</v>
      </c>
      <c r="AB36" s="234">
        <f t="shared" si="13"/>
        <v>0.5</v>
      </c>
      <c r="AC36" s="235" t="b">
        <f t="shared" si="14"/>
        <v>1</v>
      </c>
      <c r="AD36" s="235" t="b">
        <f t="shared" si="15"/>
        <v>1</v>
      </c>
    </row>
    <row r="37" spans="1:30" s="242" customFormat="1" ht="30" customHeight="1" x14ac:dyDescent="0.25">
      <c r="A37" s="220">
        <v>35</v>
      </c>
      <c r="B37" s="198" t="s">
        <v>186</v>
      </c>
      <c r="C37" s="205" t="s">
        <v>60</v>
      </c>
      <c r="D37" s="198" t="s">
        <v>100</v>
      </c>
      <c r="E37" s="206">
        <v>1611022</v>
      </c>
      <c r="F37" s="198" t="s">
        <v>64</v>
      </c>
      <c r="G37" s="198" t="s">
        <v>187</v>
      </c>
      <c r="H37" s="198" t="s">
        <v>58</v>
      </c>
      <c r="I37" s="199">
        <v>0.44400000000000001</v>
      </c>
      <c r="J37" s="200" t="s">
        <v>322</v>
      </c>
      <c r="K37" s="203">
        <v>2797662.6</v>
      </c>
      <c r="L37" s="212">
        <f t="shared" si="6"/>
        <v>1958363.82</v>
      </c>
      <c r="M37" s="204">
        <f t="shared" si="3"/>
        <v>839298.78</v>
      </c>
      <c r="N37" s="209">
        <v>0.7</v>
      </c>
      <c r="O37" s="225">
        <v>0</v>
      </c>
      <c r="P37" s="225">
        <v>0</v>
      </c>
      <c r="Q37" s="216">
        <v>0</v>
      </c>
      <c r="R37" s="216">
        <v>0</v>
      </c>
      <c r="S37" s="212">
        <v>0</v>
      </c>
      <c r="T37" s="212">
        <f>ROUNDDOWN(N37*1739360.59,2)</f>
        <v>1217552.4099999999</v>
      </c>
      <c r="U37" s="212">
        <f>L37-T37</f>
        <v>740811.41000000015</v>
      </c>
      <c r="V37" s="212">
        <v>0</v>
      </c>
      <c r="W37" s="225">
        <v>0</v>
      </c>
      <c r="X37" s="225">
        <v>0</v>
      </c>
      <c r="Y37" s="216">
        <v>0</v>
      </c>
      <c r="Z37" s="216">
        <v>0</v>
      </c>
      <c r="AA37" s="239" t="b">
        <f t="shared" si="12"/>
        <v>1</v>
      </c>
      <c r="AB37" s="240">
        <f t="shared" si="13"/>
        <v>0.7</v>
      </c>
      <c r="AC37" s="241" t="b">
        <f t="shared" si="14"/>
        <v>1</v>
      </c>
      <c r="AD37" s="241" t="b">
        <f t="shared" si="15"/>
        <v>1</v>
      </c>
    </row>
    <row r="38" spans="1:30" s="236" customFormat="1" ht="34.5" customHeight="1" x14ac:dyDescent="0.25">
      <c r="A38" s="222">
        <v>36</v>
      </c>
      <c r="B38" s="193" t="s">
        <v>188</v>
      </c>
      <c r="C38" s="207" t="s">
        <v>50</v>
      </c>
      <c r="D38" s="193" t="s">
        <v>93</v>
      </c>
      <c r="E38" s="258">
        <v>1603011</v>
      </c>
      <c r="F38" s="193" t="s">
        <v>81</v>
      </c>
      <c r="G38" s="193" t="s">
        <v>189</v>
      </c>
      <c r="H38" s="193" t="s">
        <v>58</v>
      </c>
      <c r="I38" s="195">
        <v>0.311</v>
      </c>
      <c r="J38" s="197" t="s">
        <v>263</v>
      </c>
      <c r="K38" s="196">
        <v>1564523.1</v>
      </c>
      <c r="L38" s="214">
        <f t="shared" si="6"/>
        <v>782261.55</v>
      </c>
      <c r="M38" s="52">
        <f t="shared" si="3"/>
        <v>782261.55</v>
      </c>
      <c r="N38" s="210">
        <v>0.5</v>
      </c>
      <c r="O38" s="226">
        <v>0</v>
      </c>
      <c r="P38" s="226">
        <v>0</v>
      </c>
      <c r="Q38" s="217">
        <v>0</v>
      </c>
      <c r="R38" s="217">
        <v>0</v>
      </c>
      <c r="S38" s="214">
        <v>0</v>
      </c>
      <c r="T38" s="214">
        <f>L38</f>
        <v>782261.55</v>
      </c>
      <c r="U38" s="214">
        <v>0</v>
      </c>
      <c r="V38" s="214">
        <v>0</v>
      </c>
      <c r="W38" s="226">
        <v>0</v>
      </c>
      <c r="X38" s="226">
        <v>0</v>
      </c>
      <c r="Y38" s="217">
        <v>0</v>
      </c>
      <c r="Z38" s="217">
        <v>0</v>
      </c>
      <c r="AA38" s="233" t="b">
        <f t="shared" si="12"/>
        <v>1</v>
      </c>
      <c r="AB38" s="234">
        <f t="shared" si="13"/>
        <v>0.5</v>
      </c>
      <c r="AC38" s="235" t="b">
        <f t="shared" si="14"/>
        <v>1</v>
      </c>
      <c r="AD38" s="235" t="b">
        <f t="shared" si="15"/>
        <v>1</v>
      </c>
    </row>
    <row r="39" spans="1:30" s="236" customFormat="1" ht="30" customHeight="1" x14ac:dyDescent="0.25">
      <c r="A39" s="222">
        <v>37</v>
      </c>
      <c r="B39" s="193" t="s">
        <v>190</v>
      </c>
      <c r="C39" s="207" t="s">
        <v>50</v>
      </c>
      <c r="D39" s="193" t="s">
        <v>89</v>
      </c>
      <c r="E39" s="258">
        <v>1607013</v>
      </c>
      <c r="F39" s="193" t="s">
        <v>56</v>
      </c>
      <c r="G39" s="193" t="s">
        <v>191</v>
      </c>
      <c r="H39" s="193" t="s">
        <v>66</v>
      </c>
      <c r="I39" s="195">
        <v>0.81799999999999995</v>
      </c>
      <c r="J39" s="197" t="s">
        <v>323</v>
      </c>
      <c r="K39" s="196">
        <v>4776701</v>
      </c>
      <c r="L39" s="214">
        <f t="shared" si="6"/>
        <v>3821360.8</v>
      </c>
      <c r="M39" s="52">
        <f t="shared" si="3"/>
        <v>955340.20000000019</v>
      </c>
      <c r="N39" s="210">
        <v>0.8</v>
      </c>
      <c r="O39" s="226">
        <v>0</v>
      </c>
      <c r="P39" s="226">
        <v>0</v>
      </c>
      <c r="Q39" s="217">
        <v>0</v>
      </c>
      <c r="R39" s="217">
        <v>0</v>
      </c>
      <c r="S39" s="214">
        <v>0</v>
      </c>
      <c r="T39" s="214">
        <f>L39</f>
        <v>3821360.8</v>
      </c>
      <c r="U39" s="214">
        <v>0</v>
      </c>
      <c r="V39" s="214">
        <v>0</v>
      </c>
      <c r="W39" s="226">
        <v>0</v>
      </c>
      <c r="X39" s="226">
        <v>0</v>
      </c>
      <c r="Y39" s="217">
        <v>0</v>
      </c>
      <c r="Z39" s="217">
        <v>0</v>
      </c>
      <c r="AA39" s="233" t="b">
        <f t="shared" si="12"/>
        <v>1</v>
      </c>
      <c r="AB39" s="234">
        <f t="shared" si="13"/>
        <v>0.8</v>
      </c>
      <c r="AC39" s="235" t="b">
        <f t="shared" si="14"/>
        <v>1</v>
      </c>
      <c r="AD39" s="235" t="b">
        <f t="shared" si="15"/>
        <v>1</v>
      </c>
    </row>
    <row r="40" spans="1:30" s="236" customFormat="1" ht="30" customHeight="1" x14ac:dyDescent="0.25">
      <c r="A40" s="222">
        <v>38</v>
      </c>
      <c r="B40" s="193" t="s">
        <v>193</v>
      </c>
      <c r="C40" s="207" t="s">
        <v>50</v>
      </c>
      <c r="D40" s="193" t="s">
        <v>96</v>
      </c>
      <c r="E40" s="258">
        <v>1611063</v>
      </c>
      <c r="F40" s="193" t="s">
        <v>64</v>
      </c>
      <c r="G40" s="193" t="s">
        <v>194</v>
      </c>
      <c r="H40" s="193" t="s">
        <v>66</v>
      </c>
      <c r="I40" s="195">
        <v>0.53700000000000003</v>
      </c>
      <c r="J40" s="197" t="s">
        <v>136</v>
      </c>
      <c r="K40" s="196">
        <v>1491774.34</v>
      </c>
      <c r="L40" s="214">
        <f t="shared" si="6"/>
        <v>745887.17</v>
      </c>
      <c r="M40" s="52">
        <f t="shared" si="3"/>
        <v>745887.17</v>
      </c>
      <c r="N40" s="210">
        <v>0.5</v>
      </c>
      <c r="O40" s="226">
        <v>0</v>
      </c>
      <c r="P40" s="226">
        <v>0</v>
      </c>
      <c r="Q40" s="217">
        <v>0</v>
      </c>
      <c r="R40" s="217">
        <v>0</v>
      </c>
      <c r="S40" s="214">
        <v>0</v>
      </c>
      <c r="T40" s="214">
        <f>L40</f>
        <v>745887.17</v>
      </c>
      <c r="U40" s="214">
        <v>0</v>
      </c>
      <c r="V40" s="214">
        <v>0</v>
      </c>
      <c r="W40" s="226">
        <v>0</v>
      </c>
      <c r="X40" s="226">
        <v>0</v>
      </c>
      <c r="Y40" s="217">
        <v>0</v>
      </c>
      <c r="Z40" s="217">
        <v>0</v>
      </c>
      <c r="AA40" s="233" t="b">
        <f t="shared" si="12"/>
        <v>1</v>
      </c>
      <c r="AB40" s="234">
        <f t="shared" si="13"/>
        <v>0.5</v>
      </c>
      <c r="AC40" s="235" t="b">
        <f t="shared" si="14"/>
        <v>1</v>
      </c>
      <c r="AD40" s="235" t="b">
        <f t="shared" si="15"/>
        <v>1</v>
      </c>
    </row>
    <row r="41" spans="1:30" s="236" customFormat="1" ht="30" customHeight="1" x14ac:dyDescent="0.25">
      <c r="A41" s="222">
        <v>39</v>
      </c>
      <c r="B41" s="193" t="s">
        <v>195</v>
      </c>
      <c r="C41" s="207" t="s">
        <v>50</v>
      </c>
      <c r="D41" s="193" t="s">
        <v>100</v>
      </c>
      <c r="E41" s="258">
        <v>1611022</v>
      </c>
      <c r="F41" s="193" t="s">
        <v>64</v>
      </c>
      <c r="G41" s="193" t="s">
        <v>196</v>
      </c>
      <c r="H41" s="193" t="s">
        <v>66</v>
      </c>
      <c r="I41" s="195">
        <v>7.6999999999999999E-2</v>
      </c>
      <c r="J41" s="197" t="s">
        <v>197</v>
      </c>
      <c r="K41" s="196">
        <v>320024.99</v>
      </c>
      <c r="L41" s="214">
        <f t="shared" si="6"/>
        <v>224017.49</v>
      </c>
      <c r="M41" s="52">
        <f t="shared" si="3"/>
        <v>96007.5</v>
      </c>
      <c r="N41" s="210">
        <v>0.7</v>
      </c>
      <c r="O41" s="226">
        <v>0</v>
      </c>
      <c r="P41" s="226">
        <v>0</v>
      </c>
      <c r="Q41" s="217">
        <v>0</v>
      </c>
      <c r="R41" s="217">
        <v>0</v>
      </c>
      <c r="S41" s="214">
        <v>0</v>
      </c>
      <c r="T41" s="214">
        <f>L41</f>
        <v>224017.49</v>
      </c>
      <c r="U41" s="214">
        <v>0</v>
      </c>
      <c r="V41" s="214">
        <v>0</v>
      </c>
      <c r="W41" s="226">
        <v>0</v>
      </c>
      <c r="X41" s="226">
        <v>0</v>
      </c>
      <c r="Y41" s="217">
        <v>0</v>
      </c>
      <c r="Z41" s="217">
        <v>0</v>
      </c>
      <c r="AA41" s="233" t="b">
        <f t="shared" ref="AA41:AA65" si="16">L41=SUM(O41:Z41)</f>
        <v>1</v>
      </c>
      <c r="AB41" s="234">
        <f t="shared" si="0"/>
        <v>0.7</v>
      </c>
      <c r="AC41" s="235" t="b">
        <f t="shared" si="1"/>
        <v>1</v>
      </c>
      <c r="AD41" s="235" t="b">
        <f t="shared" si="2"/>
        <v>1</v>
      </c>
    </row>
    <row r="42" spans="1:30" s="242" customFormat="1" ht="36.75" customHeight="1" x14ac:dyDescent="0.25">
      <c r="A42" s="220">
        <v>40</v>
      </c>
      <c r="B42" s="198" t="s">
        <v>198</v>
      </c>
      <c r="C42" s="205" t="s">
        <v>60</v>
      </c>
      <c r="D42" s="198" t="s">
        <v>199</v>
      </c>
      <c r="E42" s="206">
        <v>1606023</v>
      </c>
      <c r="F42" s="198" t="s">
        <v>51</v>
      </c>
      <c r="G42" s="198" t="s">
        <v>200</v>
      </c>
      <c r="H42" s="198" t="s">
        <v>66</v>
      </c>
      <c r="I42" s="199">
        <v>1.085</v>
      </c>
      <c r="J42" s="200" t="s">
        <v>201</v>
      </c>
      <c r="K42" s="203">
        <v>3191535.04</v>
      </c>
      <c r="L42" s="212">
        <f t="shared" si="6"/>
        <v>1914921.02</v>
      </c>
      <c r="M42" s="204">
        <f t="shared" si="3"/>
        <v>1276614.02</v>
      </c>
      <c r="N42" s="209">
        <v>0.6</v>
      </c>
      <c r="O42" s="225">
        <v>0</v>
      </c>
      <c r="P42" s="225">
        <v>0</v>
      </c>
      <c r="Q42" s="216">
        <v>0</v>
      </c>
      <c r="R42" s="216">
        <v>0</v>
      </c>
      <c r="S42" s="212">
        <v>0</v>
      </c>
      <c r="T42" s="212">
        <f>ROUNDDOWN(N42*2565688.07,2)</f>
        <v>1539412.84</v>
      </c>
      <c r="U42" s="212">
        <f>L42-T42</f>
        <v>375508.17999999993</v>
      </c>
      <c r="V42" s="212">
        <v>0</v>
      </c>
      <c r="W42" s="225">
        <v>0</v>
      </c>
      <c r="X42" s="225">
        <v>0</v>
      </c>
      <c r="Y42" s="216">
        <v>0</v>
      </c>
      <c r="Z42" s="216">
        <v>0</v>
      </c>
      <c r="AA42" s="239" t="b">
        <f t="shared" si="16"/>
        <v>1</v>
      </c>
      <c r="AB42" s="240">
        <f t="shared" si="0"/>
        <v>0.6</v>
      </c>
      <c r="AC42" s="241" t="b">
        <f t="shared" si="1"/>
        <v>1</v>
      </c>
      <c r="AD42" s="241" t="b">
        <f t="shared" si="2"/>
        <v>1</v>
      </c>
    </row>
    <row r="43" spans="1:30" s="242" customFormat="1" ht="30" customHeight="1" x14ac:dyDescent="0.25">
      <c r="A43" s="220">
        <v>41</v>
      </c>
      <c r="B43" s="198" t="s">
        <v>202</v>
      </c>
      <c r="C43" s="205" t="s">
        <v>60</v>
      </c>
      <c r="D43" s="198" t="s">
        <v>89</v>
      </c>
      <c r="E43" s="206">
        <v>1607013</v>
      </c>
      <c r="F43" s="198" t="s">
        <v>56</v>
      </c>
      <c r="G43" s="198" t="s">
        <v>203</v>
      </c>
      <c r="H43" s="198" t="s">
        <v>66</v>
      </c>
      <c r="I43" s="199">
        <v>0.51200000000000001</v>
      </c>
      <c r="J43" s="200" t="s">
        <v>284</v>
      </c>
      <c r="K43" s="203">
        <v>2638204.2000000002</v>
      </c>
      <c r="L43" s="212">
        <f t="shared" si="6"/>
        <v>2110563.36</v>
      </c>
      <c r="M43" s="204">
        <f t="shared" si="3"/>
        <v>527640.84000000032</v>
      </c>
      <c r="N43" s="209">
        <v>0.8</v>
      </c>
      <c r="O43" s="225">
        <v>0</v>
      </c>
      <c r="P43" s="225">
        <v>0</v>
      </c>
      <c r="Q43" s="216">
        <v>0</v>
      </c>
      <c r="R43" s="216">
        <v>0</v>
      </c>
      <c r="S43" s="212">
        <v>0</v>
      </c>
      <c r="T43" s="212">
        <f>ROUNDDOWN(N43*1623000,2)</f>
        <v>1298400</v>
      </c>
      <c r="U43" s="212">
        <f>L43-T43</f>
        <v>812163.35999999987</v>
      </c>
      <c r="V43" s="212">
        <v>0</v>
      </c>
      <c r="W43" s="225">
        <v>0</v>
      </c>
      <c r="X43" s="225">
        <v>0</v>
      </c>
      <c r="Y43" s="216">
        <v>0</v>
      </c>
      <c r="Z43" s="216">
        <v>0</v>
      </c>
      <c r="AA43" s="239" t="b">
        <f t="shared" si="16"/>
        <v>1</v>
      </c>
      <c r="AB43" s="240">
        <f t="shared" si="0"/>
        <v>0.8</v>
      </c>
      <c r="AC43" s="241" t="b">
        <f t="shared" si="1"/>
        <v>1</v>
      </c>
      <c r="AD43" s="241" t="b">
        <f t="shared" si="2"/>
        <v>1</v>
      </c>
    </row>
    <row r="44" spans="1:30" s="236" customFormat="1" ht="30" customHeight="1" x14ac:dyDescent="0.25">
      <c r="A44" s="222">
        <v>42</v>
      </c>
      <c r="B44" s="193" t="s">
        <v>204</v>
      </c>
      <c r="C44" s="207" t="s">
        <v>50</v>
      </c>
      <c r="D44" s="193" t="s">
        <v>205</v>
      </c>
      <c r="E44" s="258">
        <v>1609103</v>
      </c>
      <c r="F44" s="193" t="s">
        <v>206</v>
      </c>
      <c r="G44" s="193" t="s">
        <v>207</v>
      </c>
      <c r="H44" s="193" t="s">
        <v>58</v>
      </c>
      <c r="I44" s="195">
        <v>0.25700000000000001</v>
      </c>
      <c r="J44" s="197" t="s">
        <v>292</v>
      </c>
      <c r="K44" s="196">
        <v>878634.85</v>
      </c>
      <c r="L44" s="214">
        <f t="shared" si="6"/>
        <v>439317.42</v>
      </c>
      <c r="M44" s="52">
        <f t="shared" si="3"/>
        <v>439317.43</v>
      </c>
      <c r="N44" s="210">
        <v>0.5</v>
      </c>
      <c r="O44" s="226">
        <v>0</v>
      </c>
      <c r="P44" s="226">
        <v>0</v>
      </c>
      <c r="Q44" s="217">
        <v>0</v>
      </c>
      <c r="R44" s="217">
        <v>0</v>
      </c>
      <c r="S44" s="214">
        <v>0</v>
      </c>
      <c r="T44" s="214">
        <f t="shared" ref="T44:T52" si="17">L44</f>
        <v>439317.42</v>
      </c>
      <c r="U44" s="214">
        <v>0</v>
      </c>
      <c r="V44" s="214">
        <v>0</v>
      </c>
      <c r="W44" s="226">
        <v>0</v>
      </c>
      <c r="X44" s="226">
        <v>0</v>
      </c>
      <c r="Y44" s="217">
        <v>0</v>
      </c>
      <c r="Z44" s="217">
        <v>0</v>
      </c>
      <c r="AA44" s="233" t="b">
        <f t="shared" si="16"/>
        <v>1</v>
      </c>
      <c r="AB44" s="234">
        <f t="shared" si="0"/>
        <v>0.5</v>
      </c>
      <c r="AC44" s="235" t="b">
        <f t="shared" si="1"/>
        <v>1</v>
      </c>
      <c r="AD44" s="235" t="b">
        <f t="shared" si="2"/>
        <v>1</v>
      </c>
    </row>
    <row r="45" spans="1:30" s="236" customFormat="1" ht="30" customHeight="1" x14ac:dyDescent="0.25">
      <c r="A45" s="222">
        <v>43</v>
      </c>
      <c r="B45" s="193" t="s">
        <v>209</v>
      </c>
      <c r="C45" s="207" t="s">
        <v>50</v>
      </c>
      <c r="D45" s="193" t="s">
        <v>199</v>
      </c>
      <c r="E45" s="258">
        <v>1606023</v>
      </c>
      <c r="F45" s="193" t="s">
        <v>51</v>
      </c>
      <c r="G45" s="193" t="s">
        <v>210</v>
      </c>
      <c r="H45" s="193" t="s">
        <v>58</v>
      </c>
      <c r="I45" s="195">
        <v>0.13900000000000001</v>
      </c>
      <c r="J45" s="197" t="s">
        <v>283</v>
      </c>
      <c r="K45" s="196">
        <v>360179.67</v>
      </c>
      <c r="L45" s="214">
        <f t="shared" si="6"/>
        <v>216107.8</v>
      </c>
      <c r="M45" s="52">
        <f t="shared" si="3"/>
        <v>144071.87</v>
      </c>
      <c r="N45" s="210">
        <v>0.6</v>
      </c>
      <c r="O45" s="226">
        <v>0</v>
      </c>
      <c r="P45" s="226">
        <v>0</v>
      </c>
      <c r="Q45" s="217">
        <v>0</v>
      </c>
      <c r="R45" s="217">
        <v>0</v>
      </c>
      <c r="S45" s="214">
        <v>0</v>
      </c>
      <c r="T45" s="214">
        <f t="shared" si="17"/>
        <v>216107.8</v>
      </c>
      <c r="U45" s="214">
        <v>0</v>
      </c>
      <c r="V45" s="214">
        <v>0</v>
      </c>
      <c r="W45" s="226">
        <v>0</v>
      </c>
      <c r="X45" s="226">
        <v>0</v>
      </c>
      <c r="Y45" s="217">
        <v>0</v>
      </c>
      <c r="Z45" s="217">
        <v>0</v>
      </c>
      <c r="AA45" s="233" t="b">
        <f t="shared" si="16"/>
        <v>1</v>
      </c>
      <c r="AB45" s="234">
        <f t="shared" si="0"/>
        <v>0.6</v>
      </c>
      <c r="AC45" s="235" t="b">
        <f t="shared" si="1"/>
        <v>1</v>
      </c>
      <c r="AD45" s="235" t="b">
        <f t="shared" si="2"/>
        <v>1</v>
      </c>
    </row>
    <row r="46" spans="1:30" s="236" customFormat="1" ht="37.5" customHeight="1" x14ac:dyDescent="0.25">
      <c r="A46" s="222">
        <v>44</v>
      </c>
      <c r="B46" s="193" t="s">
        <v>212</v>
      </c>
      <c r="C46" s="207" t="s">
        <v>50</v>
      </c>
      <c r="D46" s="193" t="s">
        <v>213</v>
      </c>
      <c r="E46" s="258">
        <v>1602043</v>
      </c>
      <c r="F46" s="193" t="s">
        <v>76</v>
      </c>
      <c r="G46" s="193" t="s">
        <v>214</v>
      </c>
      <c r="H46" s="193" t="s">
        <v>58</v>
      </c>
      <c r="I46" s="195">
        <v>0.48757</v>
      </c>
      <c r="J46" s="197" t="s">
        <v>172</v>
      </c>
      <c r="K46" s="196">
        <v>3096485.63</v>
      </c>
      <c r="L46" s="214">
        <f t="shared" si="6"/>
        <v>2167539.94</v>
      </c>
      <c r="M46" s="52">
        <f t="shared" si="3"/>
        <v>928945.69</v>
      </c>
      <c r="N46" s="210">
        <v>0.7</v>
      </c>
      <c r="O46" s="226">
        <v>0</v>
      </c>
      <c r="P46" s="226">
        <v>0</v>
      </c>
      <c r="Q46" s="217">
        <v>0</v>
      </c>
      <c r="R46" s="217">
        <v>0</v>
      </c>
      <c r="S46" s="214">
        <v>0</v>
      </c>
      <c r="T46" s="214">
        <f t="shared" si="17"/>
        <v>2167539.94</v>
      </c>
      <c r="U46" s="214">
        <v>0</v>
      </c>
      <c r="V46" s="214">
        <v>0</v>
      </c>
      <c r="W46" s="226">
        <v>0</v>
      </c>
      <c r="X46" s="226">
        <v>0</v>
      </c>
      <c r="Y46" s="217">
        <v>0</v>
      </c>
      <c r="Z46" s="217">
        <v>0</v>
      </c>
      <c r="AA46" s="233" t="b">
        <f t="shared" si="16"/>
        <v>1</v>
      </c>
      <c r="AB46" s="234">
        <f t="shared" si="0"/>
        <v>0.7</v>
      </c>
      <c r="AC46" s="235" t="b">
        <f t="shared" si="1"/>
        <v>1</v>
      </c>
      <c r="AD46" s="235" t="b">
        <f t="shared" si="2"/>
        <v>1</v>
      </c>
    </row>
    <row r="47" spans="1:30" s="236" customFormat="1" ht="35.25" customHeight="1" x14ac:dyDescent="0.25">
      <c r="A47" s="222">
        <v>45</v>
      </c>
      <c r="B47" s="193" t="s">
        <v>215</v>
      </c>
      <c r="C47" s="207" t="s">
        <v>50</v>
      </c>
      <c r="D47" s="193" t="s">
        <v>213</v>
      </c>
      <c r="E47" s="258">
        <v>1602043</v>
      </c>
      <c r="F47" s="193" t="s">
        <v>76</v>
      </c>
      <c r="G47" s="193" t="s">
        <v>216</v>
      </c>
      <c r="H47" s="193" t="s">
        <v>58</v>
      </c>
      <c r="I47" s="195">
        <v>0.80876000000000003</v>
      </c>
      <c r="J47" s="197" t="s">
        <v>172</v>
      </c>
      <c r="K47" s="196">
        <v>1825021.88</v>
      </c>
      <c r="L47" s="214">
        <f t="shared" si="6"/>
        <v>1277515.31</v>
      </c>
      <c r="M47" s="52">
        <f t="shared" si="3"/>
        <v>547506.56999999983</v>
      </c>
      <c r="N47" s="210">
        <v>0.7</v>
      </c>
      <c r="O47" s="226">
        <v>0</v>
      </c>
      <c r="P47" s="226">
        <v>0</v>
      </c>
      <c r="Q47" s="217">
        <v>0</v>
      </c>
      <c r="R47" s="217">
        <v>0</v>
      </c>
      <c r="S47" s="214">
        <v>0</v>
      </c>
      <c r="T47" s="214">
        <f t="shared" si="17"/>
        <v>1277515.31</v>
      </c>
      <c r="U47" s="214">
        <v>0</v>
      </c>
      <c r="V47" s="214">
        <v>0</v>
      </c>
      <c r="W47" s="226">
        <v>0</v>
      </c>
      <c r="X47" s="226">
        <v>0</v>
      </c>
      <c r="Y47" s="217">
        <v>0</v>
      </c>
      <c r="Z47" s="217">
        <v>0</v>
      </c>
      <c r="AA47" s="233" t="b">
        <f t="shared" si="16"/>
        <v>1</v>
      </c>
      <c r="AB47" s="234">
        <f t="shared" si="0"/>
        <v>0.7</v>
      </c>
      <c r="AC47" s="235" t="b">
        <f t="shared" si="1"/>
        <v>1</v>
      </c>
      <c r="AD47" s="235" t="b">
        <f t="shared" si="2"/>
        <v>1</v>
      </c>
    </row>
    <row r="48" spans="1:30" s="236" customFormat="1" ht="30" customHeight="1" x14ac:dyDescent="0.25">
      <c r="A48" s="222">
        <v>46</v>
      </c>
      <c r="B48" s="193" t="s">
        <v>217</v>
      </c>
      <c r="C48" s="207" t="s">
        <v>50</v>
      </c>
      <c r="D48" s="193" t="s">
        <v>163</v>
      </c>
      <c r="E48" s="258">
        <v>1608013</v>
      </c>
      <c r="F48" s="193" t="s">
        <v>112</v>
      </c>
      <c r="G48" s="193" t="s">
        <v>218</v>
      </c>
      <c r="H48" s="193" t="s">
        <v>58</v>
      </c>
      <c r="I48" s="195">
        <v>0.28299999999999997</v>
      </c>
      <c r="J48" s="197" t="s">
        <v>219</v>
      </c>
      <c r="K48" s="196">
        <v>508689</v>
      </c>
      <c r="L48" s="214">
        <f t="shared" si="6"/>
        <v>356082.3</v>
      </c>
      <c r="M48" s="52">
        <f t="shared" si="3"/>
        <v>152606.70000000001</v>
      </c>
      <c r="N48" s="211">
        <v>0.7</v>
      </c>
      <c r="O48" s="226">
        <v>0</v>
      </c>
      <c r="P48" s="226">
        <v>0</v>
      </c>
      <c r="Q48" s="217">
        <v>0</v>
      </c>
      <c r="R48" s="217">
        <v>0</v>
      </c>
      <c r="S48" s="214">
        <v>0</v>
      </c>
      <c r="T48" s="214">
        <f t="shared" si="17"/>
        <v>356082.3</v>
      </c>
      <c r="U48" s="214">
        <v>0</v>
      </c>
      <c r="V48" s="214">
        <v>0</v>
      </c>
      <c r="W48" s="226">
        <v>0</v>
      </c>
      <c r="X48" s="226">
        <v>0</v>
      </c>
      <c r="Y48" s="217">
        <v>0</v>
      </c>
      <c r="Z48" s="217">
        <v>0</v>
      </c>
      <c r="AA48" s="233" t="b">
        <f t="shared" si="16"/>
        <v>1</v>
      </c>
      <c r="AB48" s="234">
        <f t="shared" si="0"/>
        <v>0.7</v>
      </c>
      <c r="AC48" s="235" t="b">
        <f t="shared" si="1"/>
        <v>1</v>
      </c>
      <c r="AD48" s="235" t="b">
        <f t="shared" si="2"/>
        <v>1</v>
      </c>
    </row>
    <row r="49" spans="1:30" s="236" customFormat="1" ht="30" customHeight="1" x14ac:dyDescent="0.25">
      <c r="A49" s="222">
        <v>47</v>
      </c>
      <c r="B49" s="193" t="s">
        <v>220</v>
      </c>
      <c r="C49" s="207" t="s">
        <v>50</v>
      </c>
      <c r="D49" s="193" t="s">
        <v>221</v>
      </c>
      <c r="E49" s="258" t="s">
        <v>222</v>
      </c>
      <c r="F49" s="193" t="s">
        <v>68</v>
      </c>
      <c r="G49" s="193" t="s">
        <v>223</v>
      </c>
      <c r="H49" s="193" t="s">
        <v>53</v>
      </c>
      <c r="I49" s="195">
        <v>0.53800000000000003</v>
      </c>
      <c r="J49" s="197" t="s">
        <v>136</v>
      </c>
      <c r="K49" s="196">
        <v>724539.54</v>
      </c>
      <c r="L49" s="214">
        <f t="shared" si="6"/>
        <v>507177.67</v>
      </c>
      <c r="M49" s="52">
        <f t="shared" si="3"/>
        <v>217361.87000000005</v>
      </c>
      <c r="N49" s="244">
        <v>0.7</v>
      </c>
      <c r="O49" s="226">
        <v>0</v>
      </c>
      <c r="P49" s="226">
        <v>0</v>
      </c>
      <c r="Q49" s="217">
        <v>0</v>
      </c>
      <c r="R49" s="217">
        <v>0</v>
      </c>
      <c r="S49" s="214">
        <v>0</v>
      </c>
      <c r="T49" s="214">
        <f t="shared" si="17"/>
        <v>507177.67</v>
      </c>
      <c r="U49" s="214">
        <v>0</v>
      </c>
      <c r="V49" s="214">
        <v>0</v>
      </c>
      <c r="W49" s="226">
        <v>0</v>
      </c>
      <c r="X49" s="226">
        <v>0</v>
      </c>
      <c r="Y49" s="217">
        <v>0</v>
      </c>
      <c r="Z49" s="217">
        <v>0</v>
      </c>
      <c r="AA49" s="233" t="b">
        <f t="shared" si="16"/>
        <v>1</v>
      </c>
      <c r="AB49" s="234">
        <f t="shared" si="0"/>
        <v>0.7</v>
      </c>
      <c r="AC49" s="235" t="b">
        <f t="shared" si="1"/>
        <v>1</v>
      </c>
      <c r="AD49" s="235" t="b">
        <f t="shared" si="2"/>
        <v>1</v>
      </c>
    </row>
    <row r="50" spans="1:30" s="236" customFormat="1" ht="35.25" customHeight="1" x14ac:dyDescent="0.25">
      <c r="A50" s="222">
        <v>48</v>
      </c>
      <c r="B50" s="193" t="s">
        <v>224</v>
      </c>
      <c r="C50" s="207" t="s">
        <v>50</v>
      </c>
      <c r="D50" s="193" t="s">
        <v>80</v>
      </c>
      <c r="E50" s="258">
        <v>1603062</v>
      </c>
      <c r="F50" s="193" t="s">
        <v>81</v>
      </c>
      <c r="G50" s="193" t="s">
        <v>225</v>
      </c>
      <c r="H50" s="193" t="s">
        <v>53</v>
      </c>
      <c r="I50" s="195">
        <v>0.41199999999999998</v>
      </c>
      <c r="J50" s="197" t="s">
        <v>292</v>
      </c>
      <c r="K50" s="196">
        <v>188844.94</v>
      </c>
      <c r="L50" s="214">
        <f t="shared" si="6"/>
        <v>132191.45000000001</v>
      </c>
      <c r="M50" s="52">
        <f t="shared" si="3"/>
        <v>56653.489999999991</v>
      </c>
      <c r="N50" s="210">
        <v>0.7</v>
      </c>
      <c r="O50" s="226">
        <v>0</v>
      </c>
      <c r="P50" s="226">
        <v>0</v>
      </c>
      <c r="Q50" s="217">
        <v>0</v>
      </c>
      <c r="R50" s="217">
        <v>0</v>
      </c>
      <c r="S50" s="214">
        <v>0</v>
      </c>
      <c r="T50" s="214">
        <f t="shared" si="17"/>
        <v>132191.45000000001</v>
      </c>
      <c r="U50" s="214">
        <v>0</v>
      </c>
      <c r="V50" s="214">
        <v>0</v>
      </c>
      <c r="W50" s="226">
        <v>0</v>
      </c>
      <c r="X50" s="226">
        <v>0</v>
      </c>
      <c r="Y50" s="217">
        <v>0</v>
      </c>
      <c r="Z50" s="217">
        <v>0</v>
      </c>
      <c r="AA50" s="233" t="b">
        <f t="shared" si="16"/>
        <v>1</v>
      </c>
      <c r="AB50" s="234">
        <f t="shared" si="0"/>
        <v>0.7</v>
      </c>
      <c r="AC50" s="235" t="b">
        <f t="shared" si="1"/>
        <v>1</v>
      </c>
      <c r="AD50" s="235" t="b">
        <f t="shared" si="2"/>
        <v>1</v>
      </c>
    </row>
    <row r="51" spans="1:30" s="236" customFormat="1" ht="30" customHeight="1" x14ac:dyDescent="0.25">
      <c r="A51" s="222">
        <v>49</v>
      </c>
      <c r="B51" s="193" t="s">
        <v>226</v>
      </c>
      <c r="C51" s="207" t="s">
        <v>50</v>
      </c>
      <c r="D51" s="193" t="s">
        <v>227</v>
      </c>
      <c r="E51" s="258">
        <v>1607092</v>
      </c>
      <c r="F51" s="193" t="s">
        <v>56</v>
      </c>
      <c r="G51" s="193" t="s">
        <v>228</v>
      </c>
      <c r="H51" s="193" t="s">
        <v>58</v>
      </c>
      <c r="I51" s="195">
        <v>0.40600000000000003</v>
      </c>
      <c r="J51" s="197" t="s">
        <v>324</v>
      </c>
      <c r="K51" s="196">
        <v>5211244.3099999996</v>
      </c>
      <c r="L51" s="214">
        <f t="shared" si="6"/>
        <v>3647871.01</v>
      </c>
      <c r="M51" s="52">
        <f t="shared" si="3"/>
        <v>1563373.2999999998</v>
      </c>
      <c r="N51" s="210">
        <v>0.7</v>
      </c>
      <c r="O51" s="226">
        <v>0</v>
      </c>
      <c r="P51" s="226">
        <v>0</v>
      </c>
      <c r="Q51" s="217">
        <v>0</v>
      </c>
      <c r="R51" s="217">
        <v>0</v>
      </c>
      <c r="S51" s="214">
        <v>0</v>
      </c>
      <c r="T51" s="214">
        <f t="shared" si="17"/>
        <v>3647871.01</v>
      </c>
      <c r="U51" s="214">
        <v>0</v>
      </c>
      <c r="V51" s="214">
        <v>0</v>
      </c>
      <c r="W51" s="226">
        <v>0</v>
      </c>
      <c r="X51" s="226">
        <v>0</v>
      </c>
      <c r="Y51" s="217">
        <v>0</v>
      </c>
      <c r="Z51" s="217">
        <v>0</v>
      </c>
      <c r="AA51" s="233" t="b">
        <f t="shared" si="16"/>
        <v>1</v>
      </c>
      <c r="AB51" s="234">
        <f t="shared" si="0"/>
        <v>0.7</v>
      </c>
      <c r="AC51" s="235" t="b">
        <f t="shared" si="1"/>
        <v>1</v>
      </c>
      <c r="AD51" s="235" t="b">
        <f t="shared" si="2"/>
        <v>1</v>
      </c>
    </row>
    <row r="52" spans="1:30" s="236" customFormat="1" ht="30" customHeight="1" x14ac:dyDescent="0.25">
      <c r="A52" s="222">
        <v>50</v>
      </c>
      <c r="B52" s="193" t="s">
        <v>229</v>
      </c>
      <c r="C52" s="207" t="s">
        <v>50</v>
      </c>
      <c r="D52" s="193" t="s">
        <v>227</v>
      </c>
      <c r="E52" s="258">
        <v>1607092</v>
      </c>
      <c r="F52" s="193" t="s">
        <v>56</v>
      </c>
      <c r="G52" s="193" t="s">
        <v>230</v>
      </c>
      <c r="H52" s="193" t="s">
        <v>66</v>
      </c>
      <c r="I52" s="195">
        <v>0.90300000000000002</v>
      </c>
      <c r="J52" s="197" t="s">
        <v>324</v>
      </c>
      <c r="K52" s="196">
        <v>9324595.4499999993</v>
      </c>
      <c r="L52" s="214">
        <f t="shared" si="6"/>
        <v>6527216.8099999996</v>
      </c>
      <c r="M52" s="52">
        <f t="shared" si="3"/>
        <v>2797378.6399999997</v>
      </c>
      <c r="N52" s="210">
        <v>0.7</v>
      </c>
      <c r="O52" s="226">
        <v>0</v>
      </c>
      <c r="P52" s="226">
        <v>0</v>
      </c>
      <c r="Q52" s="217">
        <v>0</v>
      </c>
      <c r="R52" s="217">
        <v>0</v>
      </c>
      <c r="S52" s="214">
        <v>0</v>
      </c>
      <c r="T52" s="214">
        <f t="shared" si="17"/>
        <v>6527216.8099999996</v>
      </c>
      <c r="U52" s="214">
        <v>0</v>
      </c>
      <c r="V52" s="214">
        <v>0</v>
      </c>
      <c r="W52" s="226">
        <v>0</v>
      </c>
      <c r="X52" s="226">
        <v>0</v>
      </c>
      <c r="Y52" s="217">
        <v>0</v>
      </c>
      <c r="Z52" s="217">
        <v>0</v>
      </c>
      <c r="AA52" s="233" t="b">
        <f t="shared" si="16"/>
        <v>1</v>
      </c>
      <c r="AB52" s="234">
        <f t="shared" si="0"/>
        <v>0.7</v>
      </c>
      <c r="AC52" s="235" t="b">
        <f t="shared" si="1"/>
        <v>1</v>
      </c>
      <c r="AD52" s="235" t="b">
        <f t="shared" si="2"/>
        <v>1</v>
      </c>
    </row>
    <row r="53" spans="1:30" s="236" customFormat="1" ht="30" customHeight="1" x14ac:dyDescent="0.25">
      <c r="A53" s="222">
        <v>51</v>
      </c>
      <c r="B53" s="193" t="s">
        <v>231</v>
      </c>
      <c r="C53" s="207" t="s">
        <v>50</v>
      </c>
      <c r="D53" s="193" t="s">
        <v>123</v>
      </c>
      <c r="E53" s="258">
        <v>1609083</v>
      </c>
      <c r="F53" s="193" t="s">
        <v>232</v>
      </c>
      <c r="G53" s="193" t="s">
        <v>233</v>
      </c>
      <c r="H53" s="193" t="s">
        <v>53</v>
      </c>
      <c r="I53" s="195">
        <v>0.14299999999999999</v>
      </c>
      <c r="J53" s="197" t="s">
        <v>168</v>
      </c>
      <c r="K53" s="196">
        <v>283981.2</v>
      </c>
      <c r="L53" s="214">
        <f t="shared" ref="L53:L55" si="18">ROUNDDOWN(K53*N53,2)</f>
        <v>198786.84</v>
      </c>
      <c r="M53" s="52">
        <f t="shared" ref="M53:M54" si="19">K53-L53</f>
        <v>85194.360000000015</v>
      </c>
      <c r="N53" s="210">
        <v>0.7</v>
      </c>
      <c r="O53" s="226">
        <v>0</v>
      </c>
      <c r="P53" s="226">
        <v>0</v>
      </c>
      <c r="Q53" s="217">
        <v>0</v>
      </c>
      <c r="R53" s="217">
        <v>0</v>
      </c>
      <c r="S53" s="214">
        <v>0</v>
      </c>
      <c r="T53" s="214">
        <f t="shared" ref="T53:T54" si="20">L53</f>
        <v>198786.84</v>
      </c>
      <c r="U53" s="214">
        <v>0</v>
      </c>
      <c r="V53" s="214">
        <v>0</v>
      </c>
      <c r="W53" s="226">
        <v>0</v>
      </c>
      <c r="X53" s="226">
        <v>0</v>
      </c>
      <c r="Y53" s="217">
        <v>0</v>
      </c>
      <c r="Z53" s="217">
        <v>0</v>
      </c>
      <c r="AA53" s="233" t="b">
        <f t="shared" ref="AA53:AA54" si="21">L53=SUM(O53:Z53)</f>
        <v>1</v>
      </c>
      <c r="AB53" s="234">
        <f t="shared" ref="AB53:AB54" si="22">ROUND(L53/K53,4)</f>
        <v>0.7</v>
      </c>
      <c r="AC53" s="235" t="b">
        <f t="shared" ref="AC53:AC54" si="23">AB53=N53</f>
        <v>1</v>
      </c>
      <c r="AD53" s="235" t="b">
        <f t="shared" ref="AD53:AD54" si="24">K53=L53+M53</f>
        <v>1</v>
      </c>
    </row>
    <row r="54" spans="1:30" s="236" customFormat="1" ht="30" customHeight="1" x14ac:dyDescent="0.25">
      <c r="A54" s="222">
        <v>52</v>
      </c>
      <c r="B54" s="218" t="s">
        <v>234</v>
      </c>
      <c r="C54" s="223" t="s">
        <v>50</v>
      </c>
      <c r="D54" s="218" t="s">
        <v>227</v>
      </c>
      <c r="E54" s="218">
        <v>1607092</v>
      </c>
      <c r="F54" s="218" t="s">
        <v>56</v>
      </c>
      <c r="G54" s="218" t="s">
        <v>235</v>
      </c>
      <c r="H54" s="232" t="s">
        <v>53</v>
      </c>
      <c r="I54" s="218">
        <v>0.76500000000000001</v>
      </c>
      <c r="J54" s="218" t="s">
        <v>309</v>
      </c>
      <c r="K54" s="219">
        <v>686075.35</v>
      </c>
      <c r="L54" s="214">
        <f t="shared" si="18"/>
        <v>480252.74</v>
      </c>
      <c r="M54" s="52">
        <f t="shared" si="19"/>
        <v>205822.61</v>
      </c>
      <c r="N54" s="211">
        <v>0.7</v>
      </c>
      <c r="O54" s="226">
        <v>0</v>
      </c>
      <c r="P54" s="226">
        <v>0</v>
      </c>
      <c r="Q54" s="217">
        <v>0</v>
      </c>
      <c r="R54" s="217">
        <v>0</v>
      </c>
      <c r="S54" s="215">
        <v>0</v>
      </c>
      <c r="T54" s="215">
        <f t="shared" si="20"/>
        <v>480252.74</v>
      </c>
      <c r="U54" s="215">
        <v>0</v>
      </c>
      <c r="V54" s="215">
        <v>0</v>
      </c>
      <c r="W54" s="226">
        <v>0</v>
      </c>
      <c r="X54" s="226">
        <v>0</v>
      </c>
      <c r="Y54" s="217">
        <v>0</v>
      </c>
      <c r="Z54" s="217">
        <v>0</v>
      </c>
      <c r="AA54" s="233" t="b">
        <f t="shared" si="21"/>
        <v>1</v>
      </c>
      <c r="AB54" s="234">
        <f t="shared" si="22"/>
        <v>0.7</v>
      </c>
      <c r="AC54" s="235" t="b">
        <f t="shared" si="23"/>
        <v>1</v>
      </c>
      <c r="AD54" s="235" t="b">
        <f t="shared" si="24"/>
        <v>1</v>
      </c>
    </row>
    <row r="55" spans="1:30" s="236" customFormat="1" ht="30" customHeight="1" x14ac:dyDescent="0.25">
      <c r="A55" s="222">
        <v>53</v>
      </c>
      <c r="B55" s="218" t="s">
        <v>236</v>
      </c>
      <c r="C55" s="223" t="s">
        <v>50</v>
      </c>
      <c r="D55" s="218" t="s">
        <v>89</v>
      </c>
      <c r="E55" s="218">
        <v>1607013</v>
      </c>
      <c r="F55" s="218" t="s">
        <v>56</v>
      </c>
      <c r="G55" s="218" t="s">
        <v>237</v>
      </c>
      <c r="H55" s="232" t="s">
        <v>66</v>
      </c>
      <c r="I55" s="218">
        <v>1.206</v>
      </c>
      <c r="J55" s="218" t="s">
        <v>192</v>
      </c>
      <c r="K55" s="219">
        <v>10085958</v>
      </c>
      <c r="L55" s="214">
        <f t="shared" si="18"/>
        <v>8068766.4000000004</v>
      </c>
      <c r="M55" s="52">
        <f t="shared" ref="M55" si="25">K55-L55</f>
        <v>2017191.5999999996</v>
      </c>
      <c r="N55" s="211">
        <v>0.8</v>
      </c>
      <c r="O55" s="226">
        <v>0</v>
      </c>
      <c r="P55" s="226">
        <v>0</v>
      </c>
      <c r="Q55" s="217">
        <v>0</v>
      </c>
      <c r="R55" s="217">
        <v>0</v>
      </c>
      <c r="S55" s="215">
        <v>0</v>
      </c>
      <c r="T55" s="215">
        <f>L55</f>
        <v>8068766.4000000004</v>
      </c>
      <c r="U55" s="215">
        <v>0</v>
      </c>
      <c r="V55" s="215">
        <v>0</v>
      </c>
      <c r="W55" s="226">
        <v>0</v>
      </c>
      <c r="X55" s="226">
        <v>0</v>
      </c>
      <c r="Y55" s="217">
        <v>0</v>
      </c>
      <c r="Z55" s="217">
        <v>0</v>
      </c>
      <c r="AA55" s="233" t="b">
        <f t="shared" ref="AA55" si="26">L55=SUM(O55:Z55)</f>
        <v>1</v>
      </c>
      <c r="AB55" s="234">
        <f t="shared" ref="AB55" si="27">ROUND(L55/K55,4)</f>
        <v>0.8</v>
      </c>
      <c r="AC55" s="235" t="b">
        <f t="shared" ref="AC55" si="28">AB55=N55</f>
        <v>1</v>
      </c>
      <c r="AD55" s="235" t="b">
        <f t="shared" ref="AD55" si="29">K55=L55+M55</f>
        <v>1</v>
      </c>
    </row>
    <row r="56" spans="1:30" s="236" customFormat="1" ht="36.75" customHeight="1" x14ac:dyDescent="0.25">
      <c r="A56" s="222">
        <v>54</v>
      </c>
      <c r="B56" s="218" t="s">
        <v>286</v>
      </c>
      <c r="C56" s="223" t="s">
        <v>50</v>
      </c>
      <c r="D56" s="218" t="s">
        <v>239</v>
      </c>
      <c r="E56" s="259">
        <v>1611073</v>
      </c>
      <c r="F56" s="218" t="s">
        <v>64</v>
      </c>
      <c r="G56" s="218" t="s">
        <v>240</v>
      </c>
      <c r="H56" s="218" t="s">
        <v>53</v>
      </c>
      <c r="I56" s="260">
        <v>0.57989999999999997</v>
      </c>
      <c r="J56" s="219" t="s">
        <v>241</v>
      </c>
      <c r="K56" s="261">
        <v>2586592.84</v>
      </c>
      <c r="L56" s="214">
        <f>ROUNDDOWN(K56*N56,2)</f>
        <v>2069274.27</v>
      </c>
      <c r="M56" s="52">
        <f>K56-L56</f>
        <v>517318.56999999983</v>
      </c>
      <c r="N56" s="224">
        <v>0.8</v>
      </c>
      <c r="O56" s="226">
        <v>0</v>
      </c>
      <c r="P56" s="226">
        <v>0</v>
      </c>
      <c r="Q56" s="217">
        <v>0</v>
      </c>
      <c r="R56" s="217">
        <v>0</v>
      </c>
      <c r="S56" s="215">
        <v>0</v>
      </c>
      <c r="T56" s="215">
        <f>L56</f>
        <v>2069274.27</v>
      </c>
      <c r="U56" s="215">
        <v>0</v>
      </c>
      <c r="V56" s="215">
        <v>0</v>
      </c>
      <c r="W56" s="226">
        <v>0</v>
      </c>
      <c r="X56" s="226">
        <v>0</v>
      </c>
      <c r="Y56" s="217">
        <v>0</v>
      </c>
      <c r="Z56" s="217">
        <v>0</v>
      </c>
      <c r="AA56" s="233" t="b">
        <f t="shared" ref="AA56" si="30">L56=SUM(O56:Z56)</f>
        <v>1</v>
      </c>
      <c r="AB56" s="234">
        <f t="shared" ref="AB56:AB58" si="31">ROUND(L56/K56,4)</f>
        <v>0.8</v>
      </c>
      <c r="AC56" s="235" t="b">
        <f t="shared" ref="AC56:AC58" si="32">AB56=N56</f>
        <v>1</v>
      </c>
      <c r="AD56" s="235" t="b">
        <f t="shared" ref="AD56:AD58" si="33">K56=L56+M56</f>
        <v>1</v>
      </c>
    </row>
    <row r="57" spans="1:30" s="236" customFormat="1" ht="37.5" customHeight="1" x14ac:dyDescent="0.25">
      <c r="A57" s="222">
        <v>55</v>
      </c>
      <c r="B57" s="193" t="s">
        <v>287</v>
      </c>
      <c r="C57" s="207" t="s">
        <v>50</v>
      </c>
      <c r="D57" s="193" t="s">
        <v>100</v>
      </c>
      <c r="E57" s="258">
        <v>1611022</v>
      </c>
      <c r="F57" s="193" t="s">
        <v>64</v>
      </c>
      <c r="G57" s="193" t="s">
        <v>243</v>
      </c>
      <c r="H57" s="193" t="s">
        <v>58</v>
      </c>
      <c r="I57" s="195">
        <v>0.27600000000000002</v>
      </c>
      <c r="J57" s="197" t="s">
        <v>244</v>
      </c>
      <c r="K57" s="196">
        <v>1349966.8</v>
      </c>
      <c r="L57" s="214">
        <f>ROUNDDOWN(K57*N57,2)</f>
        <v>944976.76</v>
      </c>
      <c r="M57" s="52">
        <f t="shared" ref="M57:M58" si="34">K57-L57</f>
        <v>404990.04000000004</v>
      </c>
      <c r="N57" s="211">
        <v>0.7</v>
      </c>
      <c r="O57" s="226">
        <v>0</v>
      </c>
      <c r="P57" s="226">
        <v>0</v>
      </c>
      <c r="Q57" s="217">
        <v>0</v>
      </c>
      <c r="R57" s="217">
        <v>0</v>
      </c>
      <c r="S57" s="215">
        <v>0</v>
      </c>
      <c r="T57" s="215">
        <f>L57</f>
        <v>944976.76</v>
      </c>
      <c r="U57" s="215">
        <v>0</v>
      </c>
      <c r="V57" s="215">
        <v>0</v>
      </c>
      <c r="W57" s="226">
        <v>0</v>
      </c>
      <c r="X57" s="226">
        <v>0</v>
      </c>
      <c r="Y57" s="217">
        <v>0</v>
      </c>
      <c r="Z57" s="217">
        <v>0</v>
      </c>
      <c r="AA57" s="233" t="b">
        <f t="shared" ref="AA57:AA58" si="35">L57=SUM(O57:Z57)</f>
        <v>1</v>
      </c>
      <c r="AB57" s="234">
        <f t="shared" si="31"/>
        <v>0.7</v>
      </c>
      <c r="AC57" s="235" t="b">
        <f t="shared" si="32"/>
        <v>1</v>
      </c>
      <c r="AD57" s="235" t="b">
        <f t="shared" si="33"/>
        <v>1</v>
      </c>
    </row>
    <row r="58" spans="1:30" s="236" customFormat="1" ht="37.5" customHeight="1" x14ac:dyDescent="0.25">
      <c r="A58" s="222">
        <v>56</v>
      </c>
      <c r="B58" s="193" t="s">
        <v>294</v>
      </c>
      <c r="C58" s="207" t="s">
        <v>50</v>
      </c>
      <c r="D58" s="193" t="s">
        <v>153</v>
      </c>
      <c r="E58" s="258">
        <v>1609022</v>
      </c>
      <c r="F58" s="193" t="s">
        <v>85</v>
      </c>
      <c r="G58" s="193" t="s">
        <v>245</v>
      </c>
      <c r="H58" s="193" t="s">
        <v>58</v>
      </c>
      <c r="I58" s="195">
        <v>0.15</v>
      </c>
      <c r="J58" s="197" t="s">
        <v>133</v>
      </c>
      <c r="K58" s="196">
        <v>158887.91</v>
      </c>
      <c r="L58" s="214">
        <f>ROUNDDOWN(K58*N58,2)</f>
        <v>95332.74</v>
      </c>
      <c r="M58" s="52">
        <f t="shared" si="34"/>
        <v>63555.17</v>
      </c>
      <c r="N58" s="210">
        <v>0.6</v>
      </c>
      <c r="O58" s="226">
        <v>0</v>
      </c>
      <c r="P58" s="226">
        <v>0</v>
      </c>
      <c r="Q58" s="217">
        <v>0</v>
      </c>
      <c r="R58" s="217">
        <v>0</v>
      </c>
      <c r="S58" s="215">
        <v>0</v>
      </c>
      <c r="T58" s="215">
        <f>L58</f>
        <v>95332.74</v>
      </c>
      <c r="U58" s="215">
        <v>0</v>
      </c>
      <c r="V58" s="215">
        <v>0</v>
      </c>
      <c r="W58" s="226">
        <v>0</v>
      </c>
      <c r="X58" s="226">
        <v>0</v>
      </c>
      <c r="Y58" s="217">
        <v>0</v>
      </c>
      <c r="Z58" s="217">
        <v>0</v>
      </c>
      <c r="AA58" s="233" t="b">
        <f t="shared" si="35"/>
        <v>1</v>
      </c>
      <c r="AB58" s="234">
        <f t="shared" si="31"/>
        <v>0.6</v>
      </c>
      <c r="AC58" s="235" t="b">
        <f t="shared" si="32"/>
        <v>1</v>
      </c>
      <c r="AD58" s="235" t="b">
        <f t="shared" si="33"/>
        <v>1</v>
      </c>
    </row>
    <row r="59" spans="1:30" s="236" customFormat="1" ht="37.5" customHeight="1" x14ac:dyDescent="0.25">
      <c r="A59" s="222">
        <v>57</v>
      </c>
      <c r="B59" s="193" t="s">
        <v>295</v>
      </c>
      <c r="C59" s="207" t="s">
        <v>50</v>
      </c>
      <c r="D59" s="193" t="s">
        <v>100</v>
      </c>
      <c r="E59" s="258">
        <v>1611022</v>
      </c>
      <c r="F59" s="193" t="s">
        <v>64</v>
      </c>
      <c r="G59" s="193" t="s">
        <v>249</v>
      </c>
      <c r="H59" s="193" t="s">
        <v>58</v>
      </c>
      <c r="I59" s="195">
        <v>0.11899999999999999</v>
      </c>
      <c r="J59" s="197" t="s">
        <v>321</v>
      </c>
      <c r="K59" s="196">
        <v>512758.49</v>
      </c>
      <c r="L59" s="214">
        <f t="shared" ref="L59" si="36">ROUNDDOWN(K59*N59,2)</f>
        <v>358930.94</v>
      </c>
      <c r="M59" s="52">
        <f t="shared" ref="M59:M61" si="37">K59-L59</f>
        <v>153827.54999999999</v>
      </c>
      <c r="N59" s="211">
        <v>0.7</v>
      </c>
      <c r="O59" s="226">
        <v>0</v>
      </c>
      <c r="P59" s="226">
        <v>0</v>
      </c>
      <c r="Q59" s="217">
        <v>0</v>
      </c>
      <c r="R59" s="217">
        <v>0</v>
      </c>
      <c r="S59" s="215">
        <v>0</v>
      </c>
      <c r="T59" s="215">
        <f t="shared" ref="T59" si="38">L59</f>
        <v>358930.94</v>
      </c>
      <c r="U59" s="215">
        <v>0</v>
      </c>
      <c r="V59" s="215">
        <v>0</v>
      </c>
      <c r="W59" s="226">
        <v>0</v>
      </c>
      <c r="X59" s="226">
        <v>0</v>
      </c>
      <c r="Y59" s="217">
        <v>0</v>
      </c>
      <c r="Z59" s="217">
        <v>0</v>
      </c>
      <c r="AA59" s="233" t="b">
        <f t="shared" ref="AA59:AA61" si="39">L59=SUM(O59:Z59)</f>
        <v>1</v>
      </c>
      <c r="AB59" s="234">
        <f t="shared" ref="AB59:AB61" si="40">ROUND(L59/K59,4)</f>
        <v>0.7</v>
      </c>
      <c r="AC59" s="235" t="b">
        <f t="shared" ref="AC59:AC61" si="41">AB59=N59</f>
        <v>1</v>
      </c>
      <c r="AD59" s="235" t="b">
        <f t="shared" ref="AD59:AD61" si="42">K59=L59+M59</f>
        <v>1</v>
      </c>
    </row>
    <row r="60" spans="1:30" s="236" customFormat="1" ht="37.5" customHeight="1" x14ac:dyDescent="0.25">
      <c r="A60" s="222">
        <v>58</v>
      </c>
      <c r="B60" s="193" t="s">
        <v>296</v>
      </c>
      <c r="C60" s="207" t="s">
        <v>50</v>
      </c>
      <c r="D60" s="193" t="s">
        <v>199</v>
      </c>
      <c r="E60" s="258">
        <v>1606023</v>
      </c>
      <c r="F60" s="193" t="s">
        <v>51</v>
      </c>
      <c r="G60" s="193" t="s">
        <v>250</v>
      </c>
      <c r="H60" s="193" t="s">
        <v>58</v>
      </c>
      <c r="I60" s="195">
        <v>0.77800000000000002</v>
      </c>
      <c r="J60" s="197" t="s">
        <v>211</v>
      </c>
      <c r="K60" s="196">
        <v>2036938.03</v>
      </c>
      <c r="L60" s="214">
        <f>ROUNDDOWN(K60*N60,2)</f>
        <v>1222162.81</v>
      </c>
      <c r="M60" s="52">
        <f t="shared" ref="M60" si="43">K60-L60</f>
        <v>814775.22</v>
      </c>
      <c r="N60" s="211">
        <v>0.6</v>
      </c>
      <c r="O60" s="226">
        <v>0</v>
      </c>
      <c r="P60" s="226">
        <v>0</v>
      </c>
      <c r="Q60" s="217">
        <v>0</v>
      </c>
      <c r="R60" s="217">
        <v>0</v>
      </c>
      <c r="S60" s="215">
        <v>0</v>
      </c>
      <c r="T60" s="215">
        <f>L60</f>
        <v>1222162.81</v>
      </c>
      <c r="U60" s="215">
        <v>0</v>
      </c>
      <c r="V60" s="215">
        <v>0</v>
      </c>
      <c r="W60" s="226">
        <v>0</v>
      </c>
      <c r="X60" s="226">
        <v>0</v>
      </c>
      <c r="Y60" s="217">
        <v>0</v>
      </c>
      <c r="Z60" s="217">
        <v>0</v>
      </c>
      <c r="AA60" s="233" t="b">
        <f t="shared" ref="AA60" si="44">L60=SUM(O60:Z60)</f>
        <v>1</v>
      </c>
      <c r="AB60" s="234">
        <f t="shared" ref="AB60" si="45">ROUND(L60/K60,4)</f>
        <v>0.6</v>
      </c>
      <c r="AC60" s="235" t="b">
        <f t="shared" ref="AC60" si="46">AB60=N60</f>
        <v>1</v>
      </c>
      <c r="AD60" s="235" t="b">
        <f t="shared" ref="AD60" si="47">K60=L60+M60</f>
        <v>1</v>
      </c>
    </row>
    <row r="61" spans="1:30" s="236" customFormat="1" ht="37.5" customHeight="1" x14ac:dyDescent="0.25">
      <c r="A61" s="221" t="s">
        <v>310</v>
      </c>
      <c r="B61" s="193" t="s">
        <v>311</v>
      </c>
      <c r="C61" s="207" t="s">
        <v>50</v>
      </c>
      <c r="D61" s="193" t="s">
        <v>227</v>
      </c>
      <c r="E61" s="258">
        <v>1607092</v>
      </c>
      <c r="F61" s="193" t="s">
        <v>56</v>
      </c>
      <c r="G61" s="193" t="s">
        <v>251</v>
      </c>
      <c r="H61" s="193" t="s">
        <v>66</v>
      </c>
      <c r="I61" s="195">
        <v>1.101</v>
      </c>
      <c r="J61" s="197" t="s">
        <v>325</v>
      </c>
      <c r="K61" s="196">
        <v>9011892.6300000008</v>
      </c>
      <c r="L61" s="214">
        <v>124951.1099999696</v>
      </c>
      <c r="M61" s="52">
        <f t="shared" si="37"/>
        <v>8886941.5200000312</v>
      </c>
      <c r="N61" s="211">
        <v>0.6</v>
      </c>
      <c r="O61" s="226">
        <v>0</v>
      </c>
      <c r="P61" s="226">
        <v>0</v>
      </c>
      <c r="Q61" s="217">
        <v>0</v>
      </c>
      <c r="R61" s="217">
        <v>0</v>
      </c>
      <c r="S61" s="215">
        <v>0</v>
      </c>
      <c r="T61" s="215">
        <f>L61</f>
        <v>124951.1099999696</v>
      </c>
      <c r="U61" s="215">
        <v>0</v>
      </c>
      <c r="V61" s="215">
        <v>0</v>
      </c>
      <c r="W61" s="226">
        <v>0</v>
      </c>
      <c r="X61" s="226">
        <v>0</v>
      </c>
      <c r="Y61" s="217">
        <v>0</v>
      </c>
      <c r="Z61" s="217">
        <v>0</v>
      </c>
      <c r="AA61" s="233" t="b">
        <f t="shared" si="39"/>
        <v>1</v>
      </c>
      <c r="AB61" s="234">
        <f t="shared" si="40"/>
        <v>1.3899999999999999E-2</v>
      </c>
      <c r="AC61" s="235" t="b">
        <f t="shared" si="41"/>
        <v>0</v>
      </c>
      <c r="AD61" s="235" t="b">
        <f t="shared" si="42"/>
        <v>1</v>
      </c>
    </row>
    <row r="62" spans="1:30" ht="20.100000000000001" customHeight="1" x14ac:dyDescent="0.25">
      <c r="A62" s="315" t="s">
        <v>45</v>
      </c>
      <c r="B62" s="316"/>
      <c r="C62" s="316"/>
      <c r="D62" s="316"/>
      <c r="E62" s="316"/>
      <c r="F62" s="316"/>
      <c r="G62" s="316"/>
      <c r="H62" s="317"/>
      <c r="I62" s="262">
        <f>SUM(I3:I61)</f>
        <v>37.400240000000011</v>
      </c>
      <c r="J62" s="263" t="s">
        <v>14</v>
      </c>
      <c r="K62" s="65">
        <f>SUM(K3:K61)</f>
        <v>172475524.43999997</v>
      </c>
      <c r="L62" s="65">
        <f>SUM(L3:L61)</f>
        <v>113788061.48999995</v>
      </c>
      <c r="M62" s="65">
        <f>SUM(M3:M61)</f>
        <v>58687462.95000004</v>
      </c>
      <c r="N62" s="264" t="s">
        <v>14</v>
      </c>
      <c r="O62" s="65">
        <f t="shared" ref="O62:Z62" si="48">SUM(O3:O61)</f>
        <v>0</v>
      </c>
      <c r="P62" s="65">
        <f t="shared" si="48"/>
        <v>0</v>
      </c>
      <c r="Q62" s="265">
        <f t="shared" si="48"/>
        <v>0</v>
      </c>
      <c r="R62" s="265">
        <f t="shared" si="48"/>
        <v>0</v>
      </c>
      <c r="S62" s="265">
        <f t="shared" si="48"/>
        <v>10835376.120000001</v>
      </c>
      <c r="T62" s="265">
        <f t="shared" si="48"/>
        <v>88897266.149999991</v>
      </c>
      <c r="U62" s="265">
        <f t="shared" si="48"/>
        <v>12068068.459999999</v>
      </c>
      <c r="V62" s="265">
        <f t="shared" si="48"/>
        <v>1987350.7600000007</v>
      </c>
      <c r="W62" s="265">
        <f t="shared" si="48"/>
        <v>0</v>
      </c>
      <c r="X62" s="265">
        <f t="shared" si="48"/>
        <v>0</v>
      </c>
      <c r="Y62" s="265">
        <f t="shared" si="48"/>
        <v>0</v>
      </c>
      <c r="Z62" s="265">
        <f t="shared" si="48"/>
        <v>0</v>
      </c>
      <c r="AA62" s="246" t="b">
        <f t="shared" si="16"/>
        <v>1</v>
      </c>
      <c r="AB62" s="247">
        <f t="shared" si="0"/>
        <v>0.65969999999999995</v>
      </c>
      <c r="AC62" s="248" t="s">
        <v>14</v>
      </c>
      <c r="AD62" s="248" t="b">
        <f t="shared" si="2"/>
        <v>1</v>
      </c>
    </row>
    <row r="63" spans="1:30" ht="20.100000000000001" customHeight="1" x14ac:dyDescent="0.25">
      <c r="A63" s="315" t="s">
        <v>38</v>
      </c>
      <c r="B63" s="316"/>
      <c r="C63" s="316"/>
      <c r="D63" s="316"/>
      <c r="E63" s="316"/>
      <c r="F63" s="316"/>
      <c r="G63" s="316"/>
      <c r="H63" s="317"/>
      <c r="I63" s="262">
        <f>SUMIF($C$3:$C$61,"K",I3:I61)</f>
        <v>6.7217499999999992</v>
      </c>
      <c r="J63" s="263" t="s">
        <v>14</v>
      </c>
      <c r="K63" s="65">
        <f>SUMIF($C$3:$C$61,"K",K3:K61)</f>
        <v>32087163.750000004</v>
      </c>
      <c r="L63" s="65">
        <f>SUMIF($C$3:$C$61,"K",L3:L61)</f>
        <v>21465702.130000003</v>
      </c>
      <c r="M63" s="65">
        <f>SUMIF($C$3:$C$61,"K",M3:M61)</f>
        <v>10621461.620000001</v>
      </c>
      <c r="N63" s="264" t="s">
        <v>14</v>
      </c>
      <c r="O63" s="65">
        <f t="shared" ref="O63:Z63" si="49">SUMIF($C$3:$C$61,"K",O3:O61)</f>
        <v>0</v>
      </c>
      <c r="P63" s="65">
        <f t="shared" si="49"/>
        <v>0</v>
      </c>
      <c r="Q63" s="265">
        <f t="shared" si="49"/>
        <v>0</v>
      </c>
      <c r="R63" s="265">
        <f t="shared" si="49"/>
        <v>0</v>
      </c>
      <c r="S63" s="265">
        <f t="shared" si="49"/>
        <v>10835376.120000001</v>
      </c>
      <c r="T63" s="265">
        <f t="shared" si="49"/>
        <v>10630326.010000002</v>
      </c>
      <c r="U63" s="265">
        <f t="shared" si="49"/>
        <v>0</v>
      </c>
      <c r="V63" s="265">
        <f t="shared" si="49"/>
        <v>0</v>
      </c>
      <c r="W63" s="265">
        <f t="shared" si="49"/>
        <v>0</v>
      </c>
      <c r="X63" s="265">
        <f t="shared" si="49"/>
        <v>0</v>
      </c>
      <c r="Y63" s="265">
        <f t="shared" si="49"/>
        <v>0</v>
      </c>
      <c r="Z63" s="265">
        <f t="shared" si="49"/>
        <v>0</v>
      </c>
      <c r="AA63" s="246" t="b">
        <f t="shared" si="16"/>
        <v>1</v>
      </c>
      <c r="AB63" s="247">
        <f t="shared" si="0"/>
        <v>0.66900000000000004</v>
      </c>
      <c r="AC63" s="248" t="s">
        <v>14</v>
      </c>
      <c r="AD63" s="248" t="b">
        <f t="shared" si="2"/>
        <v>1</v>
      </c>
    </row>
    <row r="64" spans="1:30" ht="20.100000000000001" customHeight="1" x14ac:dyDescent="0.25">
      <c r="A64" s="315" t="s">
        <v>39</v>
      </c>
      <c r="B64" s="316"/>
      <c r="C64" s="316"/>
      <c r="D64" s="316"/>
      <c r="E64" s="316"/>
      <c r="F64" s="316"/>
      <c r="G64" s="316"/>
      <c r="H64" s="317"/>
      <c r="I64" s="262">
        <f>SUMIF($C$3:$C$61,"N",I3:I61)</f>
        <v>25.370149999999995</v>
      </c>
      <c r="J64" s="263" t="s">
        <v>14</v>
      </c>
      <c r="K64" s="65">
        <f>SUMIF($C$3:$C$61,"N",K3:K61)</f>
        <v>101781860.66</v>
      </c>
      <c r="L64" s="65">
        <f>SUMIF($C$3:$C$61,"N",L3:L61)</f>
        <v>64032981.359999992</v>
      </c>
      <c r="M64" s="65">
        <f>SUMIF($C$3:$C$61,"N",M3:M61)</f>
        <v>37748879.300000034</v>
      </c>
      <c r="N64" s="264" t="s">
        <v>14</v>
      </c>
      <c r="O64" s="65">
        <f t="shared" ref="O64:Z64" si="50">SUMIF($C$3:$C$61,"N",O3:O61)</f>
        <v>0</v>
      </c>
      <c r="P64" s="65">
        <f t="shared" si="50"/>
        <v>0</v>
      </c>
      <c r="Q64" s="265">
        <f t="shared" si="50"/>
        <v>0</v>
      </c>
      <c r="R64" s="265">
        <f t="shared" si="50"/>
        <v>0</v>
      </c>
      <c r="S64" s="265">
        <f t="shared" si="50"/>
        <v>0</v>
      </c>
      <c r="T64" s="265">
        <f t="shared" si="50"/>
        <v>64032981.359999992</v>
      </c>
      <c r="U64" s="265">
        <f t="shared" si="50"/>
        <v>0</v>
      </c>
      <c r="V64" s="265">
        <f t="shared" si="50"/>
        <v>0</v>
      </c>
      <c r="W64" s="265">
        <f t="shared" si="50"/>
        <v>0</v>
      </c>
      <c r="X64" s="265">
        <f t="shared" si="50"/>
        <v>0</v>
      </c>
      <c r="Y64" s="265">
        <f t="shared" si="50"/>
        <v>0</v>
      </c>
      <c r="Z64" s="265">
        <f t="shared" si="50"/>
        <v>0</v>
      </c>
      <c r="AA64" s="246" t="b">
        <f t="shared" si="16"/>
        <v>1</v>
      </c>
      <c r="AB64" s="247">
        <f t="shared" si="0"/>
        <v>0.62909999999999999</v>
      </c>
      <c r="AC64" s="248" t="s">
        <v>14</v>
      </c>
      <c r="AD64" s="248" t="b">
        <f t="shared" si="2"/>
        <v>1</v>
      </c>
    </row>
    <row r="65" spans="1:30" ht="20.100000000000001" customHeight="1" x14ac:dyDescent="0.25">
      <c r="A65" s="312" t="s">
        <v>40</v>
      </c>
      <c r="B65" s="313"/>
      <c r="C65" s="313"/>
      <c r="D65" s="313"/>
      <c r="E65" s="313"/>
      <c r="F65" s="313"/>
      <c r="G65" s="313"/>
      <c r="H65" s="314"/>
      <c r="I65" s="266">
        <f>SUMIF($C$3:$C$61,"W",I3:I61)</f>
        <v>5.3083399999999994</v>
      </c>
      <c r="J65" s="267" t="s">
        <v>14</v>
      </c>
      <c r="K65" s="71">
        <f>SUMIF($C$3:$C$61,"W",K3:K61)</f>
        <v>38606500.030000009</v>
      </c>
      <c r="L65" s="71">
        <f>SUMIF($C$3:$C$61,"W",L3:L61)</f>
        <v>28289378</v>
      </c>
      <c r="M65" s="71">
        <f>SUMIF($C$3:$C$61,"W",M3:M61)</f>
        <v>10317122.029999997</v>
      </c>
      <c r="N65" s="268" t="s">
        <v>14</v>
      </c>
      <c r="O65" s="71">
        <f t="shared" ref="O65:Z65" si="51">SUMIF($C$3:$C$61,"W",O3:O61)</f>
        <v>0</v>
      </c>
      <c r="P65" s="71">
        <f t="shared" si="51"/>
        <v>0</v>
      </c>
      <c r="Q65" s="269">
        <f t="shared" si="51"/>
        <v>0</v>
      </c>
      <c r="R65" s="269">
        <f t="shared" si="51"/>
        <v>0</v>
      </c>
      <c r="S65" s="269">
        <f t="shared" si="51"/>
        <v>0</v>
      </c>
      <c r="T65" s="269">
        <f t="shared" si="51"/>
        <v>14233958.779999999</v>
      </c>
      <c r="U65" s="269">
        <f t="shared" si="51"/>
        <v>12068068.459999999</v>
      </c>
      <c r="V65" s="269">
        <f t="shared" si="51"/>
        <v>1987350.7600000007</v>
      </c>
      <c r="W65" s="269">
        <f t="shared" si="51"/>
        <v>0</v>
      </c>
      <c r="X65" s="269">
        <f t="shared" si="51"/>
        <v>0</v>
      </c>
      <c r="Y65" s="269">
        <f t="shared" si="51"/>
        <v>0</v>
      </c>
      <c r="Z65" s="269">
        <f t="shared" si="51"/>
        <v>0</v>
      </c>
      <c r="AA65" s="246" t="b">
        <f t="shared" si="16"/>
        <v>1</v>
      </c>
      <c r="AB65" s="247">
        <f t="shared" ref="AB65" si="52">ROUND(L65/K65,4)</f>
        <v>0.73280000000000001</v>
      </c>
      <c r="AC65" s="248" t="s">
        <v>14</v>
      </c>
      <c r="AD65" s="248" t="b">
        <f t="shared" ref="AD65" si="53">K65=L65+M65</f>
        <v>1</v>
      </c>
    </row>
    <row r="66" spans="1:30" x14ac:dyDescent="0.25">
      <c r="A66" s="32"/>
      <c r="K66" s="5"/>
    </row>
    <row r="67" spans="1:30" x14ac:dyDescent="0.25">
      <c r="A67" s="33" t="s">
        <v>25</v>
      </c>
      <c r="J67" s="270"/>
      <c r="L67" s="271"/>
      <c r="S67" s="4" t="s">
        <v>281</v>
      </c>
    </row>
    <row r="68" spans="1:30" x14ac:dyDescent="0.25">
      <c r="A68" s="34" t="s">
        <v>26</v>
      </c>
      <c r="L68" s="271"/>
      <c r="N68" s="248"/>
    </row>
    <row r="69" spans="1:30" x14ac:dyDescent="0.25">
      <c r="A69" s="33" t="s">
        <v>43</v>
      </c>
      <c r="K69" s="237"/>
      <c r="L69" s="272"/>
      <c r="N69" s="248"/>
    </row>
    <row r="70" spans="1:30" x14ac:dyDescent="0.25">
      <c r="A70" s="273" t="s">
        <v>47</v>
      </c>
    </row>
  </sheetData>
  <customSheetViews>
    <customSheetView guid="{B4405FF1-036B-45AD-810F-8C9DF67F9D7F}" scale="90" showGridLines="0" fitToPage="1" showAutoFilter="1" topLeftCell="B7">
      <selection activeCell="F47" sqref="F47"/>
      <pageMargins left="0.23622047244094491" right="0.23622047244094491" top="0.74803149606299213" bottom="0.74803149606299213" header="0.31496062992125984" footer="0.31496062992125984"/>
      <pageSetup paperSize="8" scale="47" fitToHeight="0" orientation="landscape" r:id="rId1"/>
      <headerFooter>
        <oddHeader>&amp;LWojewództwo &amp;K000000Opolskie &amp;K01+000- zadania gminne lista podstawowa</oddHeader>
        <oddFooter>Strona &amp;P z &amp;N</oddFooter>
      </headerFooter>
      <autoFilter ref="A2:AD61" xr:uid="{00000000-0000-0000-0000-000000000000}"/>
    </customSheetView>
    <customSheetView guid="{C76DCD22-0DC9-4799-A058-B64B837BBA0E}" scale="90" showPageBreaks="1" showGridLines="0" fitToPage="1" printArea="1" showAutoFilter="1" topLeftCell="B31">
      <selection activeCell="F47" sqref="F47"/>
      <pageMargins left="0.23622047244094491" right="0.23622047244094491" top="0.74803149606299213" bottom="0.74803149606299213" header="0.31496062992125984" footer="0.31496062992125984"/>
      <pageSetup paperSize="8" scale="47" fitToHeight="0" orientation="landscape" r:id="rId2"/>
      <headerFooter>
        <oddHeader>&amp;LWojewództwo &amp;K000000Opolskie &amp;K01+000- zadania gminne lista podstawowa</oddHeader>
        <oddFooter>Strona &amp;P z &amp;N</oddFooter>
      </headerFooter>
      <autoFilter ref="A2:AD61" xr:uid="{00000000-0000-0000-0000-000000000000}"/>
    </customSheetView>
    <customSheetView guid="{E7CAF9DC-53CB-464B-97B7-E2DEFBC16359}" showPageBreaks="1" showGridLines="0" fitToPage="1" printArea="1" filter="1" showAutoFilter="1" view="pageBreakPreview" topLeftCell="B1">
      <selection activeCell="K27" sqref="K27:M27"/>
      <pageMargins left="0.23622047244094491" right="0.23622047244094491" top="0.74803149606299213" bottom="0.74803149606299213" header="0.31496062992125984" footer="0.31496062992125984"/>
      <pageSetup paperSize="8" scale="47" fitToHeight="0" orientation="landscape" r:id="rId3"/>
      <headerFooter>
        <oddHeader>&amp;LWojewództwo &amp;K000000Opolskie &amp;K01+000- zadania gminne lista podstawowa</oddHeader>
        <oddFooter>Strona &amp;P z &amp;N</oddFooter>
      </headerFooter>
      <autoFilter ref="A2:AD61" xr:uid="{00000000-0000-0000-0000-000000000000}">
        <filterColumn colId="3">
          <filters>
            <filter val="Gmina Krapkowice"/>
          </filters>
        </filterColumn>
      </autoFilter>
    </customSheetView>
    <customSheetView guid="{CB410AB3-2DDF-47B7-B021-1F68EEA98257}" scale="85" showPageBreaks="1" showGridLines="0" fitToPage="1" printArea="1" showAutoFilter="1" hiddenColumns="1" view="pageBreakPreview" topLeftCell="A49">
      <selection activeCell="C51" sqref="C51"/>
      <pageMargins left="0.23622047244094491" right="0.23622047244094491" top="0.74803149606299213" bottom="0.74803149606299213" header="0.31496062992125984" footer="0.31496062992125984"/>
      <pageSetup paperSize="8" scale="56" fitToHeight="0" orientation="landscape" r:id="rId4"/>
      <headerFooter>
        <oddHeader>&amp;LWojewództwo &amp;K000000Opolskie &amp;K01+000- zadania gminne lista podstawowa</oddHeader>
        <oddFooter>Strona &amp;P z &amp;N</oddFooter>
      </headerFooter>
      <autoFilter ref="A2:AD64" xr:uid="{00000000-0000-0000-0000-000000000000}"/>
    </customSheetView>
  </customSheetViews>
  <mergeCells count="19">
    <mergeCell ref="O1:Z1"/>
    <mergeCell ref="A65:H65"/>
    <mergeCell ref="A64:H64"/>
    <mergeCell ref="E1:E2"/>
    <mergeCell ref="A63:H63"/>
    <mergeCell ref="N1:N2"/>
    <mergeCell ref="L1:L2"/>
    <mergeCell ref="M1:M2"/>
    <mergeCell ref="A62:H62"/>
    <mergeCell ref="H1:H2"/>
    <mergeCell ref="I1:I2"/>
    <mergeCell ref="J1:J2"/>
    <mergeCell ref="K1:K2"/>
    <mergeCell ref="A1:A2"/>
    <mergeCell ref="B1:B2"/>
    <mergeCell ref="C1:C2"/>
    <mergeCell ref="F1:F2"/>
    <mergeCell ref="G1:G2"/>
    <mergeCell ref="D1:D2"/>
  </mergeCells>
  <conditionalFormatting sqref="AB3:AC3 AA41:AD54 AA62:AA65 AB62:AD63">
    <cfRule type="cellIs" dxfId="62" priority="34" operator="equal">
      <formula>FALSE</formula>
    </cfRule>
  </conditionalFormatting>
  <conditionalFormatting sqref="AA3:AC3 AA41:AC54 AA62:AA65 AB62:AC63">
    <cfRule type="containsText" dxfId="61" priority="32" operator="containsText" text="fałsz">
      <formula>NOT(ISERROR(SEARCH("fałsz",AA3)))</formula>
    </cfRule>
  </conditionalFormatting>
  <conditionalFormatting sqref="AB65:AC65">
    <cfRule type="cellIs" dxfId="60" priority="29" operator="equal">
      <formula>FALSE</formula>
    </cfRule>
  </conditionalFormatting>
  <conditionalFormatting sqref="AA3">
    <cfRule type="cellIs" dxfId="59" priority="33" operator="equal">
      <formula>FALSE</formula>
    </cfRule>
  </conditionalFormatting>
  <conditionalFormatting sqref="AB65:AC65">
    <cfRule type="containsText" dxfId="58" priority="27" operator="containsText" text="fałsz">
      <formula>NOT(ISERROR(SEARCH("fałsz",AB65)))</formula>
    </cfRule>
  </conditionalFormatting>
  <conditionalFormatting sqref="AD3">
    <cfRule type="cellIs" dxfId="57" priority="31" operator="equal">
      <formula>FALSE</formula>
    </cfRule>
  </conditionalFormatting>
  <conditionalFormatting sqref="AD3">
    <cfRule type="cellIs" dxfId="56" priority="30" operator="equal">
      <formula>FALSE</formula>
    </cfRule>
  </conditionalFormatting>
  <conditionalFormatting sqref="AD65">
    <cfRule type="cellIs" dxfId="55" priority="26" operator="equal">
      <formula>FALSE</formula>
    </cfRule>
  </conditionalFormatting>
  <conditionalFormatting sqref="AD65">
    <cfRule type="cellIs" dxfId="54" priority="25" operator="equal">
      <formula>FALSE</formula>
    </cfRule>
  </conditionalFormatting>
  <conditionalFormatting sqref="AB64:AC64">
    <cfRule type="cellIs" dxfId="53" priority="24" operator="equal">
      <formula>FALSE</formula>
    </cfRule>
  </conditionalFormatting>
  <conditionalFormatting sqref="AB64:AC64">
    <cfRule type="containsText" dxfId="52" priority="22" operator="containsText" text="fałsz">
      <formula>NOT(ISERROR(SEARCH("fałsz",AB64)))</formula>
    </cfRule>
  </conditionalFormatting>
  <conditionalFormatting sqref="AD64">
    <cfRule type="cellIs" dxfId="51" priority="21" operator="equal">
      <formula>FALSE</formula>
    </cfRule>
  </conditionalFormatting>
  <conditionalFormatting sqref="AD64">
    <cfRule type="cellIs" dxfId="50" priority="20" operator="equal">
      <formula>FALSE</formula>
    </cfRule>
  </conditionalFormatting>
  <conditionalFormatting sqref="AB25:AC40">
    <cfRule type="cellIs" dxfId="49" priority="19" operator="equal">
      <formula>FALSE</formula>
    </cfRule>
  </conditionalFormatting>
  <conditionalFormatting sqref="AA25:AC40">
    <cfRule type="containsText" dxfId="48" priority="17" operator="containsText" text="fałsz">
      <formula>NOT(ISERROR(SEARCH("fałsz",AA25)))</formula>
    </cfRule>
  </conditionalFormatting>
  <conditionalFormatting sqref="AA25:AA40">
    <cfRule type="cellIs" dxfId="47" priority="18" operator="equal">
      <formula>FALSE</formula>
    </cfRule>
  </conditionalFormatting>
  <conditionalFormatting sqref="AD25:AD40">
    <cfRule type="cellIs" dxfId="46" priority="16" operator="equal">
      <formula>FALSE</formula>
    </cfRule>
  </conditionalFormatting>
  <conditionalFormatting sqref="AD25:AD40">
    <cfRule type="cellIs" dxfId="45" priority="15" operator="equal">
      <formula>FALSE</formula>
    </cfRule>
  </conditionalFormatting>
  <conditionalFormatting sqref="AB20:AC24">
    <cfRule type="cellIs" dxfId="44" priority="14" operator="equal">
      <formula>FALSE</formula>
    </cfRule>
  </conditionalFormatting>
  <conditionalFormatting sqref="AA20:AC24">
    <cfRule type="containsText" dxfId="43" priority="12" operator="containsText" text="fałsz">
      <formula>NOT(ISERROR(SEARCH("fałsz",AA20)))</formula>
    </cfRule>
  </conditionalFormatting>
  <conditionalFormatting sqref="AA20:AA24">
    <cfRule type="cellIs" dxfId="42" priority="13" operator="equal">
      <formula>FALSE</formula>
    </cfRule>
  </conditionalFormatting>
  <conditionalFormatting sqref="AD20:AD24">
    <cfRule type="cellIs" dxfId="41" priority="11" operator="equal">
      <formula>FALSE</formula>
    </cfRule>
  </conditionalFormatting>
  <conditionalFormatting sqref="AD20:AD24">
    <cfRule type="cellIs" dxfId="40" priority="10" operator="equal">
      <formula>FALSE</formula>
    </cfRule>
  </conditionalFormatting>
  <conditionalFormatting sqref="AB4:AC19">
    <cfRule type="cellIs" dxfId="39" priority="9" operator="equal">
      <formula>FALSE</formula>
    </cfRule>
  </conditionalFormatting>
  <conditionalFormatting sqref="AA4:AC19">
    <cfRule type="containsText" dxfId="38" priority="7" operator="containsText" text="fałsz">
      <formula>NOT(ISERROR(SEARCH("fałsz",AA4)))</formula>
    </cfRule>
  </conditionalFormatting>
  <conditionalFormatting sqref="AA4:AA19">
    <cfRule type="cellIs" dxfId="37" priority="8" operator="equal">
      <formula>FALSE</formula>
    </cfRule>
  </conditionalFormatting>
  <conditionalFormatting sqref="AD4:AD19">
    <cfRule type="cellIs" dxfId="36" priority="6" operator="equal">
      <formula>FALSE</formula>
    </cfRule>
  </conditionalFormatting>
  <conditionalFormatting sqref="AD4:AD19">
    <cfRule type="cellIs" dxfId="35" priority="5" operator="equal">
      <formula>FALSE</formula>
    </cfRule>
  </conditionalFormatting>
  <conditionalFormatting sqref="AA55:AD59 AA61:AD61">
    <cfRule type="cellIs" dxfId="34" priority="4" operator="equal">
      <formula>FALSE</formula>
    </cfRule>
  </conditionalFormatting>
  <conditionalFormatting sqref="AA55:AC59 AA61:AC61">
    <cfRule type="containsText" dxfId="33" priority="3" operator="containsText" text="fałsz">
      <formula>NOT(ISERROR(SEARCH("fałsz",AA55)))</formula>
    </cfRule>
  </conditionalFormatting>
  <conditionalFormatting sqref="AA60:AD60">
    <cfRule type="cellIs" dxfId="32" priority="2" operator="equal">
      <formula>FALSE</formula>
    </cfRule>
  </conditionalFormatting>
  <conditionalFormatting sqref="AA60:AC60">
    <cfRule type="containsText" dxfId="31" priority="1" operator="containsText" text="fałsz">
      <formula>NOT(ISERROR(SEARCH("fałsz",AA60)))</formula>
    </cfRule>
  </conditionalFormatting>
  <dataValidations count="2">
    <dataValidation type="list" allowBlank="1" showInputMessage="1" showErrorMessage="1" sqref="H3:H53 H56:H61" xr:uid="{00000000-0002-0000-0200-000000000000}">
      <formula1>"B,P,R"</formula1>
    </dataValidation>
    <dataValidation type="list" allowBlank="1" showInputMessage="1" showErrorMessage="1" sqref="C3:C53 C56:C61" xr:uid="{00000000-0002-0000-02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9" fitToHeight="0" orientation="landscape" r:id="rId5"/>
  <headerFooter>
    <oddHeader>&amp;LWojewództwo &amp;K000000Opolskie &amp;K01+000-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37"/>
  <sheetViews>
    <sheetView showGridLines="0" view="pageBreakPreview" zoomScale="85" zoomScaleNormal="78" zoomScaleSheetLayoutView="85" workbookViewId="0">
      <selection activeCell="Z8" sqref="Z8"/>
    </sheetView>
  </sheetViews>
  <sheetFormatPr defaultColWidth="9.28515625" defaultRowHeight="15" x14ac:dyDescent="0.25"/>
  <cols>
    <col min="1" max="4" width="15.7109375" style="14" customWidth="1"/>
    <col min="5" max="5" width="12.28515625" style="14" customWidth="1"/>
    <col min="6" max="7" width="15.7109375" style="14" customWidth="1"/>
    <col min="8" max="8" width="13.85546875" style="14" customWidth="1"/>
    <col min="9" max="9" width="15.7109375" style="14" customWidth="1"/>
    <col min="10" max="10" width="15.7109375" style="39" customWidth="1"/>
    <col min="11" max="11" width="18.5703125" style="14" customWidth="1"/>
    <col min="12" max="12" width="15.7109375" style="14" customWidth="1"/>
    <col min="13" max="13" width="14" style="1" customWidth="1"/>
    <col min="14" max="25" width="12.7109375" style="14" customWidth="1"/>
    <col min="26" max="29" width="15.7109375" style="14" customWidth="1"/>
    <col min="30" max="16384" width="9.28515625" style="14"/>
  </cols>
  <sheetData>
    <row r="1" spans="1:30" ht="20.100000000000001" customHeight="1" x14ac:dyDescent="0.25">
      <c r="A1" s="319" t="s">
        <v>4</v>
      </c>
      <c r="B1" s="319" t="s">
        <v>5</v>
      </c>
      <c r="C1" s="320" t="s">
        <v>46</v>
      </c>
      <c r="D1" s="322" t="s">
        <v>6</v>
      </c>
      <c r="E1" s="320" t="s">
        <v>33</v>
      </c>
      <c r="F1" s="322" t="s">
        <v>7</v>
      </c>
      <c r="G1" s="319" t="s">
        <v>27</v>
      </c>
      <c r="H1" s="319" t="s">
        <v>8</v>
      </c>
      <c r="I1" s="319" t="s">
        <v>24</v>
      </c>
      <c r="J1" s="306" t="s">
        <v>9</v>
      </c>
      <c r="K1" s="319" t="s">
        <v>10</v>
      </c>
      <c r="L1" s="322" t="s">
        <v>13</v>
      </c>
      <c r="M1" s="319" t="s">
        <v>11</v>
      </c>
      <c r="N1" s="321" t="s">
        <v>12</v>
      </c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</row>
    <row r="2" spans="1:30" ht="20.100000000000001" customHeight="1" x14ac:dyDescent="0.25">
      <c r="A2" s="319"/>
      <c r="B2" s="319"/>
      <c r="C2" s="321"/>
      <c r="D2" s="323"/>
      <c r="E2" s="321"/>
      <c r="F2" s="323"/>
      <c r="G2" s="319"/>
      <c r="H2" s="319"/>
      <c r="I2" s="319"/>
      <c r="J2" s="306"/>
      <c r="K2" s="319"/>
      <c r="L2" s="323"/>
      <c r="M2" s="319"/>
      <c r="N2" s="38">
        <v>2019</v>
      </c>
      <c r="O2" s="38">
        <v>2020</v>
      </c>
      <c r="P2" s="38">
        <v>2021</v>
      </c>
      <c r="Q2" s="38">
        <v>2022</v>
      </c>
      <c r="R2" s="38">
        <v>2023</v>
      </c>
      <c r="S2" s="38">
        <v>2024</v>
      </c>
      <c r="T2" s="38">
        <v>2025</v>
      </c>
      <c r="U2" s="38">
        <v>2026</v>
      </c>
      <c r="V2" s="38">
        <v>2027</v>
      </c>
      <c r="W2" s="38">
        <v>2028</v>
      </c>
      <c r="X2" s="185">
        <v>2029</v>
      </c>
      <c r="Y2" s="185">
        <v>2030</v>
      </c>
      <c r="Z2" s="1" t="s">
        <v>29</v>
      </c>
      <c r="AA2" s="1" t="s">
        <v>30</v>
      </c>
      <c r="AB2" s="1" t="s">
        <v>31</v>
      </c>
      <c r="AC2" s="44" t="s">
        <v>32</v>
      </c>
    </row>
    <row r="3" spans="1:30" s="47" customFormat="1" ht="30" customHeight="1" x14ac:dyDescent="0.25">
      <c r="A3" s="56"/>
      <c r="B3" s="56"/>
      <c r="C3" s="57"/>
      <c r="D3" s="58"/>
      <c r="E3" s="58"/>
      <c r="F3" s="56"/>
      <c r="G3" s="56"/>
      <c r="H3" s="59"/>
      <c r="I3" s="60"/>
      <c r="J3" s="53"/>
      <c r="K3" s="54"/>
      <c r="L3" s="55"/>
      <c r="M3" s="61"/>
      <c r="N3" s="54"/>
      <c r="O3" s="54"/>
      <c r="P3" s="62"/>
      <c r="Q3" s="62"/>
      <c r="R3" s="62"/>
      <c r="S3" s="62"/>
      <c r="T3" s="62"/>
      <c r="U3" s="62"/>
      <c r="V3" s="62"/>
      <c r="W3" s="62"/>
      <c r="X3" s="62"/>
      <c r="Y3" s="62"/>
      <c r="Z3" s="1" t="b">
        <f>K3=SUM(N3:Y3)</f>
        <v>1</v>
      </c>
      <c r="AA3" s="45" t="e">
        <f t="shared" ref="AA3" si="0">ROUND(K3/J3,4)</f>
        <v>#DIV/0!</v>
      </c>
      <c r="AB3" s="46" t="e">
        <f t="shared" ref="AB3" si="1">AA3=M3</f>
        <v>#DIV/0!</v>
      </c>
      <c r="AC3" s="46" t="b">
        <f t="shared" ref="AC3" si="2">J3=K3+L3</f>
        <v>1</v>
      </c>
      <c r="AD3" s="48"/>
    </row>
    <row r="4" spans="1:30" s="47" customFormat="1" ht="30" customHeight="1" x14ac:dyDescent="0.25">
      <c r="A4" s="75"/>
      <c r="B4" s="75"/>
      <c r="C4" s="75"/>
      <c r="D4" s="76"/>
      <c r="E4" s="76"/>
      <c r="F4" s="75"/>
      <c r="G4" s="75"/>
      <c r="H4" s="77"/>
      <c r="I4" s="78"/>
      <c r="J4" s="79"/>
      <c r="K4" s="80"/>
      <c r="L4" s="79"/>
      <c r="M4" s="81"/>
      <c r="N4" s="79"/>
      <c r="O4" s="80"/>
      <c r="P4" s="82"/>
      <c r="Q4" s="82"/>
      <c r="R4" s="82"/>
      <c r="S4" s="82"/>
      <c r="T4" s="82"/>
      <c r="U4" s="82"/>
      <c r="V4" s="82"/>
      <c r="W4" s="82"/>
      <c r="X4" s="82"/>
      <c r="Y4" s="82"/>
      <c r="Z4" s="1" t="b">
        <f t="shared" ref="Z4:Z8" si="3">K4=SUM(N4:Y4)</f>
        <v>1</v>
      </c>
      <c r="AA4" s="45" t="e">
        <f t="shared" ref="AA4:AA8" si="4">ROUND(K4/J4,4)</f>
        <v>#DIV/0!</v>
      </c>
      <c r="AB4" s="46" t="e">
        <f t="shared" ref="AB4:AB5" si="5">AA4=M4</f>
        <v>#DIV/0!</v>
      </c>
      <c r="AC4" s="46" t="b">
        <f t="shared" ref="AC4:AC8" si="6">J4=K4+L4</f>
        <v>1</v>
      </c>
      <c r="AD4" s="48"/>
    </row>
    <row r="5" spans="1:30" s="47" customFormat="1" ht="30" customHeight="1" x14ac:dyDescent="0.25">
      <c r="A5" s="75"/>
      <c r="B5" s="75"/>
      <c r="C5" s="75"/>
      <c r="D5" s="76"/>
      <c r="E5" s="76"/>
      <c r="F5" s="75"/>
      <c r="G5" s="75"/>
      <c r="H5" s="77"/>
      <c r="I5" s="78"/>
      <c r="J5" s="79"/>
      <c r="K5" s="79"/>
      <c r="L5" s="79"/>
      <c r="M5" s="81"/>
      <c r="N5" s="79"/>
      <c r="O5" s="79"/>
      <c r="P5" s="82"/>
      <c r="Q5" s="82"/>
      <c r="R5" s="82"/>
      <c r="S5" s="82"/>
      <c r="T5" s="82"/>
      <c r="U5" s="82"/>
      <c r="V5" s="82"/>
      <c r="W5" s="82"/>
      <c r="X5" s="82"/>
      <c r="Y5" s="82"/>
      <c r="Z5" s="1" t="b">
        <f t="shared" si="3"/>
        <v>1</v>
      </c>
      <c r="AA5" s="45" t="e">
        <f t="shared" si="4"/>
        <v>#DIV/0!</v>
      </c>
      <c r="AB5" s="46" t="e">
        <f t="shared" si="5"/>
        <v>#DIV/0!</v>
      </c>
      <c r="AC5" s="46" t="b">
        <f t="shared" si="6"/>
        <v>1</v>
      </c>
      <c r="AD5" s="48"/>
    </row>
    <row r="6" spans="1:30" ht="20.100000000000001" customHeight="1" x14ac:dyDescent="0.25">
      <c r="A6" s="324" t="s">
        <v>45</v>
      </c>
      <c r="B6" s="324"/>
      <c r="C6" s="324"/>
      <c r="D6" s="324"/>
      <c r="E6" s="324"/>
      <c r="F6" s="324"/>
      <c r="G6" s="324"/>
      <c r="H6" s="63">
        <f>SUM(H3:H5)</f>
        <v>0</v>
      </c>
      <c r="I6" s="64" t="s">
        <v>14</v>
      </c>
      <c r="J6" s="65">
        <f t="shared" ref="J6:L6" si="7">SUM(J3:J5)</f>
        <v>0</v>
      </c>
      <c r="K6" s="66">
        <f t="shared" si="7"/>
        <v>0</v>
      </c>
      <c r="L6" s="66">
        <f t="shared" si="7"/>
        <v>0</v>
      </c>
      <c r="M6" s="67" t="s">
        <v>14</v>
      </c>
      <c r="N6" s="83">
        <f>SUM(N3:N5)</f>
        <v>0</v>
      </c>
      <c r="O6" s="83">
        <f t="shared" ref="O6:W6" si="8">SUM(O3:O5)</f>
        <v>0</v>
      </c>
      <c r="P6" s="83">
        <f t="shared" si="8"/>
        <v>0</v>
      </c>
      <c r="Q6" s="83">
        <f t="shared" si="8"/>
        <v>0</v>
      </c>
      <c r="R6" s="83">
        <f t="shared" si="8"/>
        <v>0</v>
      </c>
      <c r="S6" s="83">
        <f t="shared" si="8"/>
        <v>0</v>
      </c>
      <c r="T6" s="83">
        <f t="shared" si="8"/>
        <v>0</v>
      </c>
      <c r="U6" s="83">
        <f t="shared" si="8"/>
        <v>0</v>
      </c>
      <c r="V6" s="83">
        <f t="shared" si="8"/>
        <v>0</v>
      </c>
      <c r="W6" s="83">
        <f t="shared" si="8"/>
        <v>0</v>
      </c>
      <c r="X6" s="83">
        <f t="shared" ref="X6:Y6" si="9">SUM(X3:X5)</f>
        <v>0</v>
      </c>
      <c r="Y6" s="83">
        <f t="shared" si="9"/>
        <v>0</v>
      </c>
      <c r="Z6" s="1" t="b">
        <f t="shared" si="3"/>
        <v>1</v>
      </c>
      <c r="AA6" s="45" t="e">
        <f t="shared" ref="AA6" si="10">ROUND(K6/J6,4)</f>
        <v>#DIV/0!</v>
      </c>
      <c r="AB6" s="46" t="s">
        <v>14</v>
      </c>
      <c r="AC6" s="46" t="b">
        <f t="shared" ref="AC6" si="11">J6=K6+L6</f>
        <v>1</v>
      </c>
      <c r="AD6" s="37"/>
    </row>
    <row r="7" spans="1:30" ht="20.100000000000001" customHeight="1" x14ac:dyDescent="0.25">
      <c r="A7" s="324" t="s">
        <v>39</v>
      </c>
      <c r="B7" s="324"/>
      <c r="C7" s="324"/>
      <c r="D7" s="324"/>
      <c r="E7" s="324"/>
      <c r="F7" s="324"/>
      <c r="G7" s="324"/>
      <c r="H7" s="63">
        <f>SUMIF($C$3:$C$5,"N",H3:H5)</f>
        <v>0</v>
      </c>
      <c r="I7" s="64" t="s">
        <v>14</v>
      </c>
      <c r="J7" s="65">
        <f t="shared" ref="J7:L7" si="12">SUMIF($C$3:$C$5,"N",J3:J5)</f>
        <v>0</v>
      </c>
      <c r="K7" s="66">
        <f t="shared" si="12"/>
        <v>0</v>
      </c>
      <c r="L7" s="66">
        <f t="shared" si="12"/>
        <v>0</v>
      </c>
      <c r="M7" s="67" t="s">
        <v>14</v>
      </c>
      <c r="N7" s="83">
        <f t="shared" ref="N7:W7" si="13">SUMIF($C$3:$C$5,"N",N3:N5)</f>
        <v>0</v>
      </c>
      <c r="O7" s="83">
        <f t="shared" si="13"/>
        <v>0</v>
      </c>
      <c r="P7" s="83">
        <f t="shared" si="13"/>
        <v>0</v>
      </c>
      <c r="Q7" s="83">
        <f t="shared" si="13"/>
        <v>0</v>
      </c>
      <c r="R7" s="83">
        <f t="shared" si="13"/>
        <v>0</v>
      </c>
      <c r="S7" s="83">
        <f t="shared" si="13"/>
        <v>0</v>
      </c>
      <c r="T7" s="83">
        <f t="shared" si="13"/>
        <v>0</v>
      </c>
      <c r="U7" s="83">
        <f t="shared" si="13"/>
        <v>0</v>
      </c>
      <c r="V7" s="83">
        <f t="shared" si="13"/>
        <v>0</v>
      </c>
      <c r="W7" s="83">
        <f t="shared" si="13"/>
        <v>0</v>
      </c>
      <c r="X7" s="83">
        <f t="shared" ref="X7:Y7" si="14">SUMIF($C$3:$C$5,"N",X3:X5)</f>
        <v>0</v>
      </c>
      <c r="Y7" s="83">
        <f t="shared" si="14"/>
        <v>0</v>
      </c>
      <c r="Z7" s="1" t="b">
        <f t="shared" si="3"/>
        <v>1</v>
      </c>
      <c r="AA7" s="45" t="e">
        <f t="shared" ref="AA7" si="15">ROUND(K7/J7,4)</f>
        <v>#DIV/0!</v>
      </c>
      <c r="AB7" s="46" t="s">
        <v>14</v>
      </c>
      <c r="AC7" s="46" t="b">
        <f t="shared" ref="AC7" si="16">J7=K7+L7</f>
        <v>1</v>
      </c>
      <c r="AD7" s="37"/>
    </row>
    <row r="8" spans="1:30" ht="20.100000000000001" customHeight="1" x14ac:dyDescent="0.25">
      <c r="A8" s="318" t="s">
        <v>40</v>
      </c>
      <c r="B8" s="318"/>
      <c r="C8" s="318"/>
      <c r="D8" s="318"/>
      <c r="E8" s="318"/>
      <c r="F8" s="318"/>
      <c r="G8" s="318"/>
      <c r="H8" s="69">
        <f>SUMIF($C$3:$C$5,"W",H3:H5)</f>
        <v>0</v>
      </c>
      <c r="I8" s="70" t="s">
        <v>14</v>
      </c>
      <c r="J8" s="71">
        <f>SUMIF($C$3:$C$5,"W",J3:J5)</f>
        <v>0</v>
      </c>
      <c r="K8" s="72">
        <f t="shared" ref="K8:L8" si="17">SUMIF($C$3:$C$5,"W",K3:K5)</f>
        <v>0</v>
      </c>
      <c r="L8" s="72">
        <f t="shared" si="17"/>
        <v>0</v>
      </c>
      <c r="M8" s="73" t="s">
        <v>14</v>
      </c>
      <c r="N8" s="84">
        <f t="shared" ref="N8:W8" si="18">SUMIF($C$3:$C$5,"W",N3:N5)</f>
        <v>0</v>
      </c>
      <c r="O8" s="84">
        <f t="shared" si="18"/>
        <v>0</v>
      </c>
      <c r="P8" s="84">
        <f t="shared" si="18"/>
        <v>0</v>
      </c>
      <c r="Q8" s="84">
        <f t="shared" si="18"/>
        <v>0</v>
      </c>
      <c r="R8" s="84">
        <f t="shared" si="18"/>
        <v>0</v>
      </c>
      <c r="S8" s="84">
        <f t="shared" si="18"/>
        <v>0</v>
      </c>
      <c r="T8" s="84">
        <f t="shared" si="18"/>
        <v>0</v>
      </c>
      <c r="U8" s="84">
        <f t="shared" si="18"/>
        <v>0</v>
      </c>
      <c r="V8" s="84">
        <f t="shared" si="18"/>
        <v>0</v>
      </c>
      <c r="W8" s="84">
        <f t="shared" si="18"/>
        <v>0</v>
      </c>
      <c r="X8" s="84">
        <f t="shared" ref="X8:Y8" si="19">SUMIF($C$3:$C$5,"W",X3:X5)</f>
        <v>0</v>
      </c>
      <c r="Y8" s="84">
        <f t="shared" si="19"/>
        <v>0</v>
      </c>
      <c r="Z8" s="1" t="b">
        <f t="shared" si="3"/>
        <v>1</v>
      </c>
      <c r="AA8" s="45" t="e">
        <f t="shared" si="4"/>
        <v>#DIV/0!</v>
      </c>
      <c r="AB8" s="46" t="s">
        <v>14</v>
      </c>
      <c r="AC8" s="46" t="b">
        <f t="shared" si="6"/>
        <v>1</v>
      </c>
      <c r="AD8" s="37"/>
    </row>
    <row r="9" spans="1:30" x14ac:dyDescent="0.25">
      <c r="A9" s="40"/>
    </row>
    <row r="10" spans="1:30" x14ac:dyDescent="0.25">
      <c r="A10" s="33" t="s">
        <v>25</v>
      </c>
    </row>
    <row r="11" spans="1:30" x14ac:dyDescent="0.25">
      <c r="A11" s="34" t="s">
        <v>26</v>
      </c>
    </row>
    <row r="12" spans="1:30" x14ac:dyDescent="0.25">
      <c r="A12" s="33" t="s">
        <v>36</v>
      </c>
    </row>
    <row r="13" spans="1:30" x14ac:dyDescent="0.25">
      <c r="A13" s="41"/>
    </row>
    <row r="34" spans="4:4" x14ac:dyDescent="0.25">
      <c r="D34" s="39"/>
    </row>
    <row r="35" spans="4:4" x14ac:dyDescent="0.25">
      <c r="D35" s="39"/>
    </row>
    <row r="36" spans="4:4" x14ac:dyDescent="0.25">
      <c r="D36" s="39"/>
    </row>
    <row r="37" spans="4:4" x14ac:dyDescent="0.25">
      <c r="D37" s="39"/>
    </row>
  </sheetData>
  <customSheetViews>
    <customSheetView guid="{B4405FF1-036B-45AD-810F-8C9DF67F9D7F}" scale="85" showPageBreaks="1" showGridLines="0" fitToPage="1" printArea="1" view="pageBreakPreview">
      <selection activeCell="L3" sqref="L3"/>
      <pageMargins left="0.23622047244094491" right="0.23622047244094491" top="0.74803149606299213" bottom="0.74803149606299213" header="0.31496062992125984" footer="0.31496062992125984"/>
      <pageSetup paperSize="8" scale="51" fitToHeight="0" orientation="landscape" r:id="rId1"/>
      <headerFooter>
        <oddHeader>&amp;LWojewództwo &amp;K000000Opolskie &amp;K01+000- zadania powiatowe lista rezerwowa</oddHeader>
        <oddFooter>Strona &amp;P z &amp;N</oddFooter>
      </headerFooter>
    </customSheetView>
    <customSheetView guid="{C76DCD22-0DC9-4799-A058-B64B837BBA0E}" scale="85" showPageBreaks="1" showGridLines="0" fitToPage="1" printArea="1" view="pageBreakPreview">
      <selection activeCell="L3" sqref="L3"/>
      <pageMargins left="0.23622047244094491" right="0.23622047244094491" top="0.74803149606299213" bottom="0.74803149606299213" header="0.31496062992125984" footer="0.31496062992125984"/>
      <pageSetup paperSize="8" scale="51" fitToHeight="0" orientation="landscape" r:id="rId2"/>
      <headerFooter>
        <oddHeader>&amp;LWojewództwo &amp;K000000Opolskie &amp;K01+000- zadania powiatowe lista rezerwowa</oddHeader>
        <oddFooter>Strona &amp;P z &amp;N</oddFooter>
      </headerFooter>
    </customSheetView>
    <customSheetView guid="{E7CAF9DC-53CB-464B-97B7-E2DEFBC16359}" scale="85" showPageBreaks="1" showGridLines="0" fitToPage="1" printArea="1" view="pageBreakPreview">
      <selection activeCell="L3" sqref="L3"/>
      <pageMargins left="0.23622047244094491" right="0.23622047244094491" top="0.74803149606299213" bottom="0.74803149606299213" header="0.31496062992125984" footer="0.31496062992125984"/>
      <pageSetup paperSize="8" scale="51" fitToHeight="0" orientation="landscape" r:id="rId3"/>
      <headerFooter>
        <oddHeader>&amp;LWojewództwo &amp;K000000Opolskie &amp;K01+000- zadania powiatowe lista rezerwowa</oddHeader>
        <oddFooter>Strona &amp;P z &amp;N</oddFooter>
      </headerFooter>
    </customSheetView>
    <customSheetView guid="{CB410AB3-2DDF-47B7-B021-1F68EEA98257}" scale="85" showPageBreaks="1" showGridLines="0" fitToPage="1" printArea="1" view="pageBreakPreview">
      <selection activeCell="L3" sqref="L3"/>
      <pageMargins left="0.23622047244094491" right="0.23622047244094491" top="0.74803149606299213" bottom="0.74803149606299213" header="0.31496062992125984" footer="0.31496062992125984"/>
      <pageSetup paperSize="8" scale="51" fitToHeight="0" orientation="landscape" r:id="rId4"/>
      <headerFooter>
        <oddHeader>&amp;LWojewództwo &amp;K000000Opolskie &amp;K01+000- zadania powiatowe lista rezerwowa</oddHeader>
        <oddFooter>Strona &amp;P z &amp;N</oddFooter>
      </headerFooter>
    </customSheetView>
  </customSheetViews>
  <mergeCells count="17">
    <mergeCell ref="J1:J2"/>
    <mergeCell ref="K1:K2"/>
    <mergeCell ref="L1:L2"/>
    <mergeCell ref="M1:M2"/>
    <mergeCell ref="N1:Y1"/>
    <mergeCell ref="A8:G8"/>
    <mergeCell ref="I1:I2"/>
    <mergeCell ref="A1:A2"/>
    <mergeCell ref="B1:B2"/>
    <mergeCell ref="C1:C2"/>
    <mergeCell ref="F1:F2"/>
    <mergeCell ref="G1:G2"/>
    <mergeCell ref="H1:H2"/>
    <mergeCell ref="D1:D2"/>
    <mergeCell ref="A6:G6"/>
    <mergeCell ref="E1:E2"/>
    <mergeCell ref="A7:G7"/>
  </mergeCells>
  <conditionalFormatting sqref="AC3:AC5 AC8">
    <cfRule type="cellIs" dxfId="30" priority="14" operator="equal">
      <formula>FALSE</formula>
    </cfRule>
  </conditionalFormatting>
  <conditionalFormatting sqref="AD3:AD5 AD8">
    <cfRule type="cellIs" dxfId="29" priority="19" operator="equal">
      <formula>FALSE</formula>
    </cfRule>
  </conditionalFormatting>
  <conditionalFormatting sqref="AD3:AD5 AD8">
    <cfRule type="cellIs" dxfId="28" priority="18" operator="equal">
      <formula>FALSE</formula>
    </cfRule>
  </conditionalFormatting>
  <conditionalFormatting sqref="AA3:AB5 AA8:AB8">
    <cfRule type="cellIs" dxfId="27" priority="17" operator="equal">
      <formula>FALSE</formula>
    </cfRule>
  </conditionalFormatting>
  <conditionalFormatting sqref="Z3:Z8">
    <cfRule type="cellIs" dxfId="26" priority="16" operator="equal">
      <formula>FALSE</formula>
    </cfRule>
  </conditionalFormatting>
  <conditionalFormatting sqref="Z3:AB3 AA8:AB8 AA4:AB5 Z4:Z8">
    <cfRule type="containsText" dxfId="25" priority="15" operator="containsText" text="fałsz">
      <formula>NOT(ISERROR(SEARCH("fałsz",Z3)))</formula>
    </cfRule>
  </conditionalFormatting>
  <conditionalFormatting sqref="AC3:AC5 AC8">
    <cfRule type="cellIs" dxfId="24" priority="13" operator="equal">
      <formula>FALSE</formula>
    </cfRule>
  </conditionalFormatting>
  <conditionalFormatting sqref="AD6:AD7">
    <cfRule type="cellIs" dxfId="23" priority="12" operator="equal">
      <formula>FALSE</formula>
    </cfRule>
  </conditionalFormatting>
  <conditionalFormatting sqref="AD6:AD7">
    <cfRule type="cellIs" dxfId="22" priority="11" operator="equal">
      <formula>FALSE</formula>
    </cfRule>
  </conditionalFormatting>
  <conditionalFormatting sqref="AA6:AB6">
    <cfRule type="cellIs" dxfId="21" priority="10" operator="equal">
      <formula>FALSE</formula>
    </cfRule>
  </conditionalFormatting>
  <conditionalFormatting sqref="AA6:AB6">
    <cfRule type="containsText" dxfId="20" priority="8" operator="containsText" text="fałsz">
      <formula>NOT(ISERROR(SEARCH("fałsz",AA6)))</formula>
    </cfRule>
  </conditionalFormatting>
  <conditionalFormatting sqref="AC6">
    <cfRule type="cellIs" dxfId="19" priority="7" operator="equal">
      <formula>FALSE</formula>
    </cfRule>
  </conditionalFormatting>
  <conditionalFormatting sqref="AC6">
    <cfRule type="cellIs" dxfId="18" priority="6" operator="equal">
      <formula>FALSE</formula>
    </cfRule>
  </conditionalFormatting>
  <conditionalFormatting sqref="AA7:AB7">
    <cfRule type="cellIs" dxfId="17" priority="5" operator="equal">
      <formula>FALSE</formula>
    </cfRule>
  </conditionalFormatting>
  <conditionalFormatting sqref="AA7:AB7">
    <cfRule type="containsText" dxfId="16" priority="3" operator="containsText" text="fałsz">
      <formula>NOT(ISERROR(SEARCH("fałsz",AA7)))</formula>
    </cfRule>
  </conditionalFormatting>
  <conditionalFormatting sqref="AC7">
    <cfRule type="cellIs" dxfId="15" priority="2" operator="equal">
      <formula>FALSE</formula>
    </cfRule>
  </conditionalFormatting>
  <conditionalFormatting sqref="AC7">
    <cfRule type="cellIs" dxfId="14" priority="1" operator="equal">
      <formula>FALSE</formula>
    </cfRule>
  </conditionalFormatting>
  <dataValidations disablePrompts="1" count="2">
    <dataValidation type="list" allowBlank="1" showInputMessage="1" showErrorMessage="1" sqref="C3:C5" xr:uid="{00000000-0002-0000-0300-000000000000}">
      <formula1>"N,W"</formula1>
    </dataValidation>
    <dataValidation type="list" allowBlank="1" showInputMessage="1" showErrorMessage="1" sqref="G3:G5" xr:uid="{00000000-0002-0000-0300-000001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8" fitToHeight="0" orientation="landscape" r:id="rId5"/>
  <headerFooter>
    <oddHeader>&amp;LWojewództwo &amp;K000000Opolskie &amp;K01+000-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28"/>
  <sheetViews>
    <sheetView showGridLines="0" view="pageBreakPreview" topLeftCell="L1" zoomScale="85" zoomScaleNormal="78" zoomScaleSheetLayoutView="85" workbookViewId="0">
      <selection activeCell="Q22" sqref="Q22"/>
    </sheetView>
  </sheetViews>
  <sheetFormatPr defaultColWidth="9.28515625" defaultRowHeight="15" x14ac:dyDescent="0.25"/>
  <cols>
    <col min="1" max="1" width="6.7109375" style="39" customWidth="1"/>
    <col min="2" max="2" width="13.7109375" style="39" customWidth="1"/>
    <col min="3" max="3" width="12.5703125" style="39" customWidth="1"/>
    <col min="4" max="4" width="15.7109375" style="39" customWidth="1"/>
    <col min="5" max="5" width="10.7109375" style="39" customWidth="1"/>
    <col min="6" max="6" width="15.7109375" style="39" customWidth="1"/>
    <col min="7" max="7" width="47.5703125" style="39" customWidth="1"/>
    <col min="8" max="8" width="11.28515625" style="39" customWidth="1"/>
    <col min="9" max="9" width="13" style="39" customWidth="1"/>
    <col min="10" max="11" width="15.7109375" style="39" customWidth="1"/>
    <col min="12" max="12" width="17.7109375" style="39" customWidth="1"/>
    <col min="13" max="13" width="15.7109375" style="39" customWidth="1"/>
    <col min="14" max="14" width="15.7109375" style="246" customWidth="1"/>
    <col min="15" max="30" width="15.7109375" style="39" customWidth="1"/>
    <col min="31" max="16384" width="9.28515625" style="39"/>
  </cols>
  <sheetData>
    <row r="1" spans="1:30" ht="20.100000000000001" customHeight="1" x14ac:dyDescent="0.25">
      <c r="A1" s="306" t="s">
        <v>4</v>
      </c>
      <c r="B1" s="306" t="s">
        <v>5</v>
      </c>
      <c r="C1" s="307" t="s">
        <v>46</v>
      </c>
      <c r="D1" s="309" t="s">
        <v>6</v>
      </c>
      <c r="E1" s="309" t="s">
        <v>33</v>
      </c>
      <c r="F1" s="309" t="s">
        <v>15</v>
      </c>
      <c r="G1" s="306" t="s">
        <v>7</v>
      </c>
      <c r="H1" s="306" t="s">
        <v>27</v>
      </c>
      <c r="I1" s="306" t="s">
        <v>8</v>
      </c>
      <c r="J1" s="306" t="s">
        <v>28</v>
      </c>
      <c r="K1" s="306" t="s">
        <v>9</v>
      </c>
      <c r="L1" s="306" t="s">
        <v>10</v>
      </c>
      <c r="M1" s="309" t="s">
        <v>13</v>
      </c>
      <c r="N1" s="306" t="s">
        <v>11</v>
      </c>
      <c r="O1" s="308" t="s">
        <v>12</v>
      </c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</row>
    <row r="2" spans="1:30" ht="20.100000000000001" customHeight="1" x14ac:dyDescent="0.25">
      <c r="A2" s="306"/>
      <c r="B2" s="306"/>
      <c r="C2" s="308"/>
      <c r="D2" s="310"/>
      <c r="E2" s="310"/>
      <c r="F2" s="310"/>
      <c r="G2" s="306"/>
      <c r="H2" s="306"/>
      <c r="I2" s="306"/>
      <c r="J2" s="306"/>
      <c r="K2" s="306"/>
      <c r="L2" s="306"/>
      <c r="M2" s="310"/>
      <c r="N2" s="306"/>
      <c r="O2" s="238">
        <v>2019</v>
      </c>
      <c r="P2" s="238">
        <v>2020</v>
      </c>
      <c r="Q2" s="238">
        <v>2021</v>
      </c>
      <c r="R2" s="238">
        <v>2022</v>
      </c>
      <c r="S2" s="238">
        <v>2023</v>
      </c>
      <c r="T2" s="238">
        <v>2024</v>
      </c>
      <c r="U2" s="238">
        <v>2025</v>
      </c>
      <c r="V2" s="238">
        <v>2026</v>
      </c>
      <c r="W2" s="238">
        <v>2027</v>
      </c>
      <c r="X2" s="238">
        <v>2028</v>
      </c>
      <c r="Y2" s="238">
        <v>2029</v>
      </c>
      <c r="Z2" s="238">
        <v>2030</v>
      </c>
      <c r="AA2" s="246" t="s">
        <v>29</v>
      </c>
      <c r="AB2" s="246" t="s">
        <v>30</v>
      </c>
      <c r="AC2" s="246" t="s">
        <v>31</v>
      </c>
      <c r="AD2" s="44" t="s">
        <v>32</v>
      </c>
    </row>
    <row r="3" spans="1:30" ht="40.5" customHeight="1" x14ac:dyDescent="0.25">
      <c r="A3" s="201">
        <v>1</v>
      </c>
      <c r="B3" s="218" t="s">
        <v>288</v>
      </c>
      <c r="C3" s="223"/>
      <c r="D3" s="218" t="s">
        <v>239</v>
      </c>
      <c r="E3" s="259">
        <v>1611073</v>
      </c>
      <c r="F3" s="218" t="s">
        <v>64</v>
      </c>
      <c r="G3" s="218" t="s">
        <v>240</v>
      </c>
      <c r="H3" s="218" t="s">
        <v>53</v>
      </c>
      <c r="I3" s="260"/>
      <c r="J3" s="219" t="s">
        <v>241</v>
      </c>
      <c r="K3" s="261"/>
      <c r="L3" s="49"/>
      <c r="M3" s="52"/>
      <c r="N3" s="224">
        <v>0.8</v>
      </c>
      <c r="O3" s="226"/>
      <c r="P3" s="226"/>
      <c r="Q3" s="227"/>
      <c r="R3" s="227"/>
      <c r="S3" s="227"/>
      <c r="T3" s="228"/>
      <c r="U3" s="226"/>
      <c r="V3" s="226"/>
      <c r="W3" s="227"/>
      <c r="X3" s="227"/>
      <c r="Y3" s="227"/>
      <c r="Z3" s="227"/>
      <c r="AA3" s="246" t="b">
        <f>L3=SUM(O3:Z3)</f>
        <v>1</v>
      </c>
      <c r="AB3" s="247" t="e">
        <f>ROUND(L3/K3,4)</f>
        <v>#DIV/0!</v>
      </c>
      <c r="AC3" s="248" t="e">
        <f>AB3=N3</f>
        <v>#DIV/0!</v>
      </c>
      <c r="AD3" s="248" t="b">
        <f>K3=L3+M3</f>
        <v>1</v>
      </c>
    </row>
    <row r="4" spans="1:30" ht="25.5" customHeight="1" x14ac:dyDescent="0.25">
      <c r="A4" s="201">
        <v>2</v>
      </c>
      <c r="B4" s="193" t="s">
        <v>289</v>
      </c>
      <c r="C4" s="207"/>
      <c r="D4" s="193" t="s">
        <v>227</v>
      </c>
      <c r="E4" s="258">
        <v>1607092</v>
      </c>
      <c r="F4" s="193" t="s">
        <v>56</v>
      </c>
      <c r="G4" s="193" t="s">
        <v>242</v>
      </c>
      <c r="H4" s="193" t="s">
        <v>58</v>
      </c>
      <c r="I4" s="195"/>
      <c r="J4" s="197" t="s">
        <v>279</v>
      </c>
      <c r="K4" s="196"/>
      <c r="L4" s="49"/>
      <c r="M4" s="52"/>
      <c r="N4" s="211">
        <v>0.7</v>
      </c>
      <c r="O4" s="226"/>
      <c r="P4" s="226"/>
      <c r="Q4" s="227"/>
      <c r="R4" s="227"/>
      <c r="S4" s="227"/>
      <c r="T4" s="228"/>
      <c r="U4" s="226"/>
      <c r="V4" s="226"/>
      <c r="W4" s="227"/>
      <c r="X4" s="227"/>
      <c r="Y4" s="227"/>
      <c r="Z4" s="227"/>
      <c r="AA4" s="246" t="b">
        <f t="shared" ref="AA4:AA20" si="0">L4=SUM(O4:Z4)</f>
        <v>1</v>
      </c>
      <c r="AB4" s="247" t="e">
        <f t="shared" ref="AB4:AB20" si="1">ROUND(L4/K4,4)</f>
        <v>#DIV/0!</v>
      </c>
      <c r="AC4" s="248" t="e">
        <f t="shared" ref="AC4:AC20" si="2">AB4=N4</f>
        <v>#DIV/0!</v>
      </c>
      <c r="AD4" s="248" t="b">
        <f t="shared" ref="AD4:AD20" si="3">K4=L4+M4</f>
        <v>1</v>
      </c>
    </row>
    <row r="5" spans="1:30" ht="40.5" customHeight="1" x14ac:dyDescent="0.25">
      <c r="A5" s="201">
        <v>3</v>
      </c>
      <c r="B5" s="193" t="s">
        <v>290</v>
      </c>
      <c r="C5" s="207"/>
      <c r="D5" s="193" t="s">
        <v>100</v>
      </c>
      <c r="E5" s="258">
        <v>1611022</v>
      </c>
      <c r="F5" s="193" t="s">
        <v>64</v>
      </c>
      <c r="G5" s="193" t="s">
        <v>243</v>
      </c>
      <c r="H5" s="193" t="s">
        <v>58</v>
      </c>
      <c r="I5" s="195"/>
      <c r="J5" s="197" t="s">
        <v>244</v>
      </c>
      <c r="K5" s="196"/>
      <c r="L5" s="49"/>
      <c r="M5" s="52"/>
      <c r="N5" s="211">
        <v>0.7</v>
      </c>
      <c r="O5" s="226"/>
      <c r="P5" s="226"/>
      <c r="Q5" s="227"/>
      <c r="R5" s="227"/>
      <c r="S5" s="227"/>
      <c r="T5" s="228"/>
      <c r="U5" s="226"/>
      <c r="V5" s="226"/>
      <c r="W5" s="227"/>
      <c r="X5" s="227"/>
      <c r="Y5" s="227"/>
      <c r="Z5" s="227"/>
      <c r="AA5" s="246" t="b">
        <f t="shared" si="0"/>
        <v>1</v>
      </c>
      <c r="AB5" s="247" t="e">
        <f t="shared" si="1"/>
        <v>#DIV/0!</v>
      </c>
      <c r="AC5" s="248" t="e">
        <f t="shared" si="2"/>
        <v>#DIV/0!</v>
      </c>
      <c r="AD5" s="248" t="b">
        <f t="shared" si="3"/>
        <v>1</v>
      </c>
    </row>
    <row r="6" spans="1:30" ht="36" customHeight="1" x14ac:dyDescent="0.25">
      <c r="A6" s="201">
        <v>4</v>
      </c>
      <c r="B6" s="193" t="s">
        <v>297</v>
      </c>
      <c r="C6" s="207"/>
      <c r="D6" s="193" t="s">
        <v>153</v>
      </c>
      <c r="E6" s="258">
        <v>1609022</v>
      </c>
      <c r="F6" s="193" t="s">
        <v>85</v>
      </c>
      <c r="G6" s="193" t="s">
        <v>245</v>
      </c>
      <c r="H6" s="193" t="s">
        <v>58</v>
      </c>
      <c r="I6" s="195"/>
      <c r="J6" s="197" t="s">
        <v>133</v>
      </c>
      <c r="K6" s="196"/>
      <c r="L6" s="49"/>
      <c r="M6" s="52"/>
      <c r="N6" s="211">
        <v>0.6</v>
      </c>
      <c r="O6" s="226"/>
      <c r="P6" s="226"/>
      <c r="Q6" s="227"/>
      <c r="R6" s="227"/>
      <c r="S6" s="227"/>
      <c r="T6" s="228"/>
      <c r="U6" s="226"/>
      <c r="V6" s="226"/>
      <c r="W6" s="227"/>
      <c r="X6" s="227"/>
      <c r="Y6" s="227"/>
      <c r="Z6" s="227"/>
      <c r="AA6" s="246" t="b">
        <f t="shared" si="0"/>
        <v>1</v>
      </c>
      <c r="AB6" s="247" t="e">
        <f t="shared" si="1"/>
        <v>#DIV/0!</v>
      </c>
      <c r="AC6" s="248" t="e">
        <f t="shared" si="2"/>
        <v>#DIV/0!</v>
      </c>
      <c r="AD6" s="248" t="b">
        <f t="shared" si="3"/>
        <v>1</v>
      </c>
    </row>
    <row r="7" spans="1:30" ht="21" customHeight="1" x14ac:dyDescent="0.25">
      <c r="A7" s="201">
        <v>5</v>
      </c>
      <c r="B7" s="193" t="s">
        <v>246</v>
      </c>
      <c r="C7" s="207"/>
      <c r="D7" s="193" t="s">
        <v>89</v>
      </c>
      <c r="E7" s="258">
        <v>1607013</v>
      </c>
      <c r="F7" s="193" t="s">
        <v>56</v>
      </c>
      <c r="G7" s="193" t="s">
        <v>247</v>
      </c>
      <c r="H7" s="193" t="s">
        <v>53</v>
      </c>
      <c r="I7" s="195"/>
      <c r="J7" s="197" t="s">
        <v>279</v>
      </c>
      <c r="K7" s="196"/>
      <c r="L7" s="49"/>
      <c r="M7" s="52"/>
      <c r="N7" s="211">
        <v>0.8</v>
      </c>
      <c r="O7" s="226"/>
      <c r="P7" s="226"/>
      <c r="Q7" s="227"/>
      <c r="R7" s="227"/>
      <c r="S7" s="227"/>
      <c r="T7" s="228"/>
      <c r="U7" s="226"/>
      <c r="V7" s="226"/>
      <c r="W7" s="227"/>
      <c r="X7" s="227"/>
      <c r="Y7" s="227"/>
      <c r="Z7" s="227"/>
      <c r="AA7" s="246" t="b">
        <f t="shared" si="0"/>
        <v>1</v>
      </c>
      <c r="AB7" s="247" t="e">
        <f t="shared" si="1"/>
        <v>#DIV/0!</v>
      </c>
      <c r="AC7" s="248" t="e">
        <f t="shared" si="2"/>
        <v>#DIV/0!</v>
      </c>
      <c r="AD7" s="248" t="b">
        <f t="shared" si="3"/>
        <v>1</v>
      </c>
    </row>
    <row r="8" spans="1:30" ht="49.5" customHeight="1" x14ac:dyDescent="0.25">
      <c r="A8" s="201">
        <v>6</v>
      </c>
      <c r="B8" s="193" t="s">
        <v>298</v>
      </c>
      <c r="C8" s="207"/>
      <c r="D8" s="193" t="s">
        <v>100</v>
      </c>
      <c r="E8" s="258">
        <v>1611022</v>
      </c>
      <c r="F8" s="193" t="s">
        <v>64</v>
      </c>
      <c r="G8" s="193" t="s">
        <v>249</v>
      </c>
      <c r="H8" s="193" t="s">
        <v>58</v>
      </c>
      <c r="I8" s="195"/>
      <c r="J8" s="197" t="s">
        <v>72</v>
      </c>
      <c r="K8" s="196"/>
      <c r="L8" s="49"/>
      <c r="M8" s="52"/>
      <c r="N8" s="211">
        <v>0.7</v>
      </c>
      <c r="O8" s="226"/>
      <c r="P8" s="226"/>
      <c r="Q8" s="227"/>
      <c r="R8" s="227"/>
      <c r="S8" s="227"/>
      <c r="T8" s="228"/>
      <c r="U8" s="226"/>
      <c r="V8" s="226"/>
      <c r="W8" s="227"/>
      <c r="X8" s="227"/>
      <c r="Y8" s="227"/>
      <c r="Z8" s="227"/>
      <c r="AA8" s="246" t="b">
        <f t="shared" si="0"/>
        <v>1</v>
      </c>
      <c r="AB8" s="247" t="e">
        <f t="shared" si="1"/>
        <v>#DIV/0!</v>
      </c>
      <c r="AC8" s="248" t="e">
        <f t="shared" si="2"/>
        <v>#DIV/0!</v>
      </c>
      <c r="AD8" s="248" t="b">
        <f t="shared" si="3"/>
        <v>1</v>
      </c>
    </row>
    <row r="9" spans="1:30" ht="45" customHeight="1" x14ac:dyDescent="0.25">
      <c r="A9" s="201">
        <v>7</v>
      </c>
      <c r="B9" s="193" t="s">
        <v>299</v>
      </c>
      <c r="C9" s="207"/>
      <c r="D9" s="193" t="s">
        <v>199</v>
      </c>
      <c r="E9" s="258">
        <v>1606023</v>
      </c>
      <c r="F9" s="193" t="s">
        <v>51</v>
      </c>
      <c r="G9" s="193" t="s">
        <v>250</v>
      </c>
      <c r="H9" s="193" t="s">
        <v>58</v>
      </c>
      <c r="I9" s="195"/>
      <c r="J9" s="197" t="s">
        <v>211</v>
      </c>
      <c r="K9" s="196"/>
      <c r="L9" s="49"/>
      <c r="M9" s="52"/>
      <c r="N9" s="211">
        <v>0.6</v>
      </c>
      <c r="O9" s="226"/>
      <c r="P9" s="226"/>
      <c r="Q9" s="227"/>
      <c r="R9" s="227"/>
      <c r="S9" s="227"/>
      <c r="T9" s="228"/>
      <c r="U9" s="226"/>
      <c r="V9" s="226"/>
      <c r="W9" s="227"/>
      <c r="X9" s="227"/>
      <c r="Y9" s="227"/>
      <c r="Z9" s="227"/>
      <c r="AA9" s="246" t="b">
        <f t="shared" si="0"/>
        <v>1</v>
      </c>
      <c r="AB9" s="247" t="e">
        <f t="shared" si="1"/>
        <v>#DIV/0!</v>
      </c>
      <c r="AC9" s="248" t="e">
        <f t="shared" si="2"/>
        <v>#DIV/0!</v>
      </c>
      <c r="AD9" s="248" t="b">
        <f t="shared" si="3"/>
        <v>1</v>
      </c>
    </row>
    <row r="10" spans="1:30" ht="49.5" customHeight="1" x14ac:dyDescent="0.25">
      <c r="A10" s="201">
        <v>8</v>
      </c>
      <c r="B10" s="193" t="s">
        <v>312</v>
      </c>
      <c r="C10" s="207"/>
      <c r="D10" s="193" t="s">
        <v>227</v>
      </c>
      <c r="E10" s="258">
        <v>1607092</v>
      </c>
      <c r="F10" s="193" t="s">
        <v>56</v>
      </c>
      <c r="G10" s="193" t="s">
        <v>251</v>
      </c>
      <c r="H10" s="193" t="s">
        <v>66</v>
      </c>
      <c r="I10" s="195"/>
      <c r="J10" s="197" t="s">
        <v>168</v>
      </c>
      <c r="K10" s="196"/>
      <c r="L10" s="49"/>
      <c r="M10" s="52"/>
      <c r="N10" s="211">
        <v>0.7</v>
      </c>
      <c r="O10" s="226"/>
      <c r="P10" s="226"/>
      <c r="Q10" s="227"/>
      <c r="R10" s="227"/>
      <c r="S10" s="227"/>
      <c r="T10" s="228"/>
      <c r="U10" s="226"/>
      <c r="V10" s="226"/>
      <c r="W10" s="227"/>
      <c r="X10" s="227"/>
      <c r="Y10" s="227"/>
      <c r="Z10" s="227"/>
      <c r="AA10" s="246" t="b">
        <f t="shared" si="0"/>
        <v>1</v>
      </c>
      <c r="AB10" s="247" t="e">
        <f t="shared" si="1"/>
        <v>#DIV/0!</v>
      </c>
      <c r="AC10" s="248" t="e">
        <f t="shared" si="2"/>
        <v>#DIV/0!</v>
      </c>
      <c r="AD10" s="248" t="b">
        <f t="shared" si="3"/>
        <v>1</v>
      </c>
    </row>
    <row r="11" spans="1:30" ht="30" customHeight="1" x14ac:dyDescent="0.25">
      <c r="A11" s="201">
        <v>9</v>
      </c>
      <c r="B11" s="193" t="s">
        <v>252</v>
      </c>
      <c r="C11" s="207"/>
      <c r="D11" s="193" t="s">
        <v>89</v>
      </c>
      <c r="E11" s="258">
        <v>1607013</v>
      </c>
      <c r="F11" s="193" t="s">
        <v>56</v>
      </c>
      <c r="G11" s="193" t="s">
        <v>253</v>
      </c>
      <c r="H11" s="193" t="s">
        <v>53</v>
      </c>
      <c r="I11" s="195"/>
      <c r="J11" s="197" t="s">
        <v>279</v>
      </c>
      <c r="K11" s="196"/>
      <c r="L11" s="49"/>
      <c r="M11" s="52"/>
      <c r="N11" s="211">
        <v>0.8</v>
      </c>
      <c r="O11" s="226"/>
      <c r="P11" s="226"/>
      <c r="Q11" s="227"/>
      <c r="R11" s="227"/>
      <c r="S11" s="227"/>
      <c r="T11" s="228"/>
      <c r="U11" s="226"/>
      <c r="V11" s="226"/>
      <c r="W11" s="227"/>
      <c r="X11" s="227"/>
      <c r="Y11" s="227"/>
      <c r="Z11" s="227"/>
      <c r="AA11" s="246" t="b">
        <f t="shared" si="0"/>
        <v>1</v>
      </c>
      <c r="AB11" s="247" t="e">
        <f t="shared" si="1"/>
        <v>#DIV/0!</v>
      </c>
      <c r="AC11" s="248" t="e">
        <f t="shared" si="2"/>
        <v>#DIV/0!</v>
      </c>
      <c r="AD11" s="248" t="b">
        <f t="shared" si="3"/>
        <v>1</v>
      </c>
    </row>
    <row r="12" spans="1:30" ht="30" customHeight="1" x14ac:dyDescent="0.25">
      <c r="A12" s="201">
        <v>10</v>
      </c>
      <c r="B12" s="193" t="s">
        <v>254</v>
      </c>
      <c r="C12" s="207" t="s">
        <v>50</v>
      </c>
      <c r="D12" s="193" t="s">
        <v>255</v>
      </c>
      <c r="E12" s="258">
        <v>1605042</v>
      </c>
      <c r="F12" s="193" t="s">
        <v>68</v>
      </c>
      <c r="G12" s="193" t="s">
        <v>256</v>
      </c>
      <c r="H12" s="193" t="s">
        <v>53</v>
      </c>
      <c r="I12" s="195">
        <v>0.45900000000000002</v>
      </c>
      <c r="J12" s="197" t="s">
        <v>257</v>
      </c>
      <c r="K12" s="196">
        <v>300000</v>
      </c>
      <c r="L12" s="49">
        <f t="shared" ref="L12:L20" si="4">ROUNDDOWN(K12*N12,2)</f>
        <v>180000</v>
      </c>
      <c r="M12" s="52">
        <f t="shared" ref="M12:M20" si="5">K12-L12</f>
        <v>120000</v>
      </c>
      <c r="N12" s="211">
        <v>0.6</v>
      </c>
      <c r="O12" s="226">
        <v>0</v>
      </c>
      <c r="P12" s="226">
        <v>0</v>
      </c>
      <c r="Q12" s="227">
        <v>0</v>
      </c>
      <c r="R12" s="227">
        <v>0</v>
      </c>
      <c r="S12" s="227">
        <v>0</v>
      </c>
      <c r="T12" s="228">
        <f t="shared" ref="T12:T20" si="6">L12</f>
        <v>180000</v>
      </c>
      <c r="U12" s="226">
        <v>0</v>
      </c>
      <c r="V12" s="226">
        <v>0</v>
      </c>
      <c r="W12" s="227">
        <v>0</v>
      </c>
      <c r="X12" s="227">
        <v>0</v>
      </c>
      <c r="Y12" s="227">
        <v>0</v>
      </c>
      <c r="Z12" s="227">
        <v>0</v>
      </c>
      <c r="AA12" s="246" t="b">
        <f t="shared" si="0"/>
        <v>1</v>
      </c>
      <c r="AB12" s="247">
        <f t="shared" si="1"/>
        <v>0.6</v>
      </c>
      <c r="AC12" s="248" t="b">
        <f t="shared" si="2"/>
        <v>1</v>
      </c>
      <c r="AD12" s="248" t="b">
        <f t="shared" si="3"/>
        <v>1</v>
      </c>
    </row>
    <row r="13" spans="1:30" ht="30" customHeight="1" x14ac:dyDescent="0.25">
      <c r="A13" s="201">
        <v>11</v>
      </c>
      <c r="B13" s="193" t="s">
        <v>258</v>
      </c>
      <c r="C13" s="207" t="s">
        <v>50</v>
      </c>
      <c r="D13" s="193" t="s">
        <v>227</v>
      </c>
      <c r="E13" s="258">
        <v>1607092</v>
      </c>
      <c r="F13" s="193" t="s">
        <v>56</v>
      </c>
      <c r="G13" s="193" t="s">
        <v>259</v>
      </c>
      <c r="H13" s="193" t="s">
        <v>58</v>
      </c>
      <c r="I13" s="195">
        <v>0.26100000000000001</v>
      </c>
      <c r="J13" s="197" t="s">
        <v>133</v>
      </c>
      <c r="K13" s="196">
        <v>1392866.8</v>
      </c>
      <c r="L13" s="49">
        <f t="shared" si="4"/>
        <v>975006.76</v>
      </c>
      <c r="M13" s="52">
        <f t="shared" si="5"/>
        <v>417860.04000000004</v>
      </c>
      <c r="N13" s="211">
        <v>0.7</v>
      </c>
      <c r="O13" s="226">
        <v>0</v>
      </c>
      <c r="P13" s="226">
        <v>0</v>
      </c>
      <c r="Q13" s="227">
        <v>0</v>
      </c>
      <c r="R13" s="227">
        <v>0</v>
      </c>
      <c r="S13" s="227">
        <v>0</v>
      </c>
      <c r="T13" s="228">
        <f t="shared" si="6"/>
        <v>975006.76</v>
      </c>
      <c r="U13" s="226">
        <v>0</v>
      </c>
      <c r="V13" s="226">
        <v>0</v>
      </c>
      <c r="W13" s="227">
        <v>0</v>
      </c>
      <c r="X13" s="227">
        <v>0</v>
      </c>
      <c r="Y13" s="227">
        <v>0</v>
      </c>
      <c r="Z13" s="227">
        <v>0</v>
      </c>
      <c r="AA13" s="246" t="b">
        <f t="shared" si="0"/>
        <v>1</v>
      </c>
      <c r="AB13" s="247">
        <f t="shared" si="1"/>
        <v>0.7</v>
      </c>
      <c r="AC13" s="248" t="b">
        <f t="shared" si="2"/>
        <v>1</v>
      </c>
      <c r="AD13" s="248" t="b">
        <f t="shared" si="3"/>
        <v>1</v>
      </c>
    </row>
    <row r="14" spans="1:30" ht="30" customHeight="1" x14ac:dyDescent="0.25">
      <c r="A14" s="201">
        <v>12</v>
      </c>
      <c r="B14" s="193" t="s">
        <v>260</v>
      </c>
      <c r="C14" s="207" t="s">
        <v>50</v>
      </c>
      <c r="D14" s="193" t="s">
        <v>261</v>
      </c>
      <c r="E14" s="258">
        <v>1611043</v>
      </c>
      <c r="F14" s="193" t="s">
        <v>64</v>
      </c>
      <c r="G14" s="193" t="s">
        <v>262</v>
      </c>
      <c r="H14" s="193" t="s">
        <v>53</v>
      </c>
      <c r="I14" s="195">
        <v>0.34386</v>
      </c>
      <c r="J14" s="197" t="s">
        <v>263</v>
      </c>
      <c r="K14" s="196">
        <v>530696.95999999996</v>
      </c>
      <c r="L14" s="49">
        <f t="shared" si="4"/>
        <v>318418.17</v>
      </c>
      <c r="M14" s="52">
        <f t="shared" si="5"/>
        <v>212278.78999999998</v>
      </c>
      <c r="N14" s="211">
        <v>0.6</v>
      </c>
      <c r="O14" s="226">
        <v>0</v>
      </c>
      <c r="P14" s="226">
        <v>0</v>
      </c>
      <c r="Q14" s="227">
        <v>0</v>
      </c>
      <c r="R14" s="227">
        <v>0</v>
      </c>
      <c r="S14" s="227">
        <v>0</v>
      </c>
      <c r="T14" s="228">
        <f t="shared" si="6"/>
        <v>318418.17</v>
      </c>
      <c r="U14" s="226">
        <v>0</v>
      </c>
      <c r="V14" s="226">
        <v>0</v>
      </c>
      <c r="W14" s="227">
        <v>0</v>
      </c>
      <c r="X14" s="227">
        <v>0</v>
      </c>
      <c r="Y14" s="227">
        <v>0</v>
      </c>
      <c r="Z14" s="227">
        <v>0</v>
      </c>
      <c r="AA14" s="246" t="b">
        <f t="shared" si="0"/>
        <v>1</v>
      </c>
      <c r="AB14" s="247">
        <f t="shared" si="1"/>
        <v>0.6</v>
      </c>
      <c r="AC14" s="248" t="b">
        <f t="shared" si="2"/>
        <v>1</v>
      </c>
      <c r="AD14" s="248" t="b">
        <f t="shared" si="3"/>
        <v>1</v>
      </c>
    </row>
    <row r="15" spans="1:30" ht="30" customHeight="1" x14ac:dyDescent="0.25">
      <c r="A15" s="201">
        <v>13</v>
      </c>
      <c r="B15" s="193" t="s">
        <v>264</v>
      </c>
      <c r="C15" s="207" t="s">
        <v>50</v>
      </c>
      <c r="D15" s="193" t="s">
        <v>80</v>
      </c>
      <c r="E15" s="258">
        <v>1603062</v>
      </c>
      <c r="F15" s="193" t="s">
        <v>81</v>
      </c>
      <c r="G15" s="193" t="s">
        <v>265</v>
      </c>
      <c r="H15" s="193" t="s">
        <v>66</v>
      </c>
      <c r="I15" s="195">
        <v>0.40600000000000003</v>
      </c>
      <c r="J15" s="197" t="s">
        <v>182</v>
      </c>
      <c r="K15" s="196">
        <v>571096.38</v>
      </c>
      <c r="L15" s="49">
        <f t="shared" si="4"/>
        <v>399767.46</v>
      </c>
      <c r="M15" s="52">
        <f t="shared" si="5"/>
        <v>171328.91999999998</v>
      </c>
      <c r="N15" s="211">
        <v>0.7</v>
      </c>
      <c r="O15" s="226">
        <v>0</v>
      </c>
      <c r="P15" s="226">
        <v>0</v>
      </c>
      <c r="Q15" s="227">
        <v>0</v>
      </c>
      <c r="R15" s="227">
        <v>0</v>
      </c>
      <c r="S15" s="227">
        <v>0</v>
      </c>
      <c r="T15" s="228">
        <f t="shared" si="6"/>
        <v>399767.46</v>
      </c>
      <c r="U15" s="226">
        <v>0</v>
      </c>
      <c r="V15" s="226">
        <v>0</v>
      </c>
      <c r="W15" s="227">
        <v>0</v>
      </c>
      <c r="X15" s="227">
        <v>0</v>
      </c>
      <c r="Y15" s="227">
        <v>0</v>
      </c>
      <c r="Z15" s="227">
        <v>0</v>
      </c>
      <c r="AA15" s="246" t="b">
        <f t="shared" si="0"/>
        <v>1</v>
      </c>
      <c r="AB15" s="247">
        <f t="shared" si="1"/>
        <v>0.7</v>
      </c>
      <c r="AC15" s="248" t="b">
        <f t="shared" si="2"/>
        <v>1</v>
      </c>
      <c r="AD15" s="248" t="b">
        <f t="shared" si="3"/>
        <v>1</v>
      </c>
    </row>
    <row r="16" spans="1:30" ht="30" customHeight="1" x14ac:dyDescent="0.25">
      <c r="A16" s="201">
        <v>14</v>
      </c>
      <c r="B16" s="193" t="s">
        <v>266</v>
      </c>
      <c r="C16" s="207" t="s">
        <v>50</v>
      </c>
      <c r="D16" s="193" t="s">
        <v>89</v>
      </c>
      <c r="E16" s="258">
        <v>1607013</v>
      </c>
      <c r="F16" s="193" t="s">
        <v>56</v>
      </c>
      <c r="G16" s="193" t="s">
        <v>267</v>
      </c>
      <c r="H16" s="193" t="s">
        <v>53</v>
      </c>
      <c r="I16" s="195">
        <v>0.17799999999999999</v>
      </c>
      <c r="J16" s="197" t="s">
        <v>248</v>
      </c>
      <c r="K16" s="196">
        <v>115710</v>
      </c>
      <c r="L16" s="49">
        <f t="shared" si="4"/>
        <v>92568</v>
      </c>
      <c r="M16" s="52">
        <f t="shared" si="5"/>
        <v>23142</v>
      </c>
      <c r="N16" s="211">
        <v>0.8</v>
      </c>
      <c r="O16" s="226">
        <v>0</v>
      </c>
      <c r="P16" s="226">
        <v>0</v>
      </c>
      <c r="Q16" s="227">
        <v>0</v>
      </c>
      <c r="R16" s="227">
        <v>0</v>
      </c>
      <c r="S16" s="227">
        <v>0</v>
      </c>
      <c r="T16" s="228">
        <f t="shared" si="6"/>
        <v>92568</v>
      </c>
      <c r="U16" s="226">
        <v>0</v>
      </c>
      <c r="V16" s="226">
        <v>0</v>
      </c>
      <c r="W16" s="227">
        <v>0</v>
      </c>
      <c r="X16" s="227">
        <v>0</v>
      </c>
      <c r="Y16" s="227">
        <v>0</v>
      </c>
      <c r="Z16" s="227">
        <v>0</v>
      </c>
      <c r="AA16" s="246" t="b">
        <f t="shared" si="0"/>
        <v>1</v>
      </c>
      <c r="AB16" s="247">
        <f t="shared" si="1"/>
        <v>0.8</v>
      </c>
      <c r="AC16" s="248" t="b">
        <f t="shared" si="2"/>
        <v>1</v>
      </c>
      <c r="AD16" s="248" t="b">
        <f t="shared" si="3"/>
        <v>1</v>
      </c>
    </row>
    <row r="17" spans="1:30" ht="30" customHeight="1" x14ac:dyDescent="0.25">
      <c r="A17" s="201">
        <v>15</v>
      </c>
      <c r="B17" s="193" t="s">
        <v>268</v>
      </c>
      <c r="C17" s="207" t="s">
        <v>50</v>
      </c>
      <c r="D17" s="193" t="s">
        <v>89</v>
      </c>
      <c r="E17" s="193">
        <v>1607013</v>
      </c>
      <c r="F17" s="193" t="s">
        <v>56</v>
      </c>
      <c r="G17" s="193" t="s">
        <v>269</v>
      </c>
      <c r="H17" s="193" t="s">
        <v>53</v>
      </c>
      <c r="I17" s="193">
        <v>0.25729999999999997</v>
      </c>
      <c r="J17" s="197" t="s">
        <v>248</v>
      </c>
      <c r="K17" s="196">
        <v>132194</v>
      </c>
      <c r="L17" s="49">
        <f t="shared" si="4"/>
        <v>105755.2</v>
      </c>
      <c r="M17" s="52">
        <f t="shared" si="5"/>
        <v>26438.800000000003</v>
      </c>
      <c r="N17" s="211">
        <v>0.8</v>
      </c>
      <c r="O17" s="226">
        <v>0</v>
      </c>
      <c r="P17" s="226">
        <v>0</v>
      </c>
      <c r="Q17" s="227">
        <v>0</v>
      </c>
      <c r="R17" s="227">
        <v>0</v>
      </c>
      <c r="S17" s="227">
        <v>0</v>
      </c>
      <c r="T17" s="228">
        <f t="shared" si="6"/>
        <v>105755.2</v>
      </c>
      <c r="U17" s="226">
        <v>0</v>
      </c>
      <c r="V17" s="226">
        <v>0</v>
      </c>
      <c r="W17" s="227">
        <v>0</v>
      </c>
      <c r="X17" s="227">
        <v>0</v>
      </c>
      <c r="Y17" s="227">
        <v>0</v>
      </c>
      <c r="Z17" s="227">
        <v>0</v>
      </c>
      <c r="AA17" s="246" t="b">
        <f t="shared" si="0"/>
        <v>1</v>
      </c>
      <c r="AB17" s="247">
        <f t="shared" si="1"/>
        <v>0.8</v>
      </c>
      <c r="AC17" s="248" t="b">
        <f t="shared" si="2"/>
        <v>1</v>
      </c>
      <c r="AD17" s="248" t="b">
        <f t="shared" si="3"/>
        <v>1</v>
      </c>
    </row>
    <row r="18" spans="1:30" ht="30" customHeight="1" x14ac:dyDescent="0.25">
      <c r="A18" s="201">
        <v>16</v>
      </c>
      <c r="B18" s="193" t="s">
        <v>270</v>
      </c>
      <c r="C18" s="207" t="s">
        <v>50</v>
      </c>
      <c r="D18" s="193" t="s">
        <v>89</v>
      </c>
      <c r="E18" s="193">
        <v>1607013</v>
      </c>
      <c r="F18" s="193" t="s">
        <v>56</v>
      </c>
      <c r="G18" s="193" t="s">
        <v>271</v>
      </c>
      <c r="H18" s="193" t="s">
        <v>53</v>
      </c>
      <c r="I18" s="193">
        <v>0.47586000000000001</v>
      </c>
      <c r="J18" s="197" t="s">
        <v>248</v>
      </c>
      <c r="K18" s="196">
        <v>291876</v>
      </c>
      <c r="L18" s="49">
        <f t="shared" si="4"/>
        <v>233500.79999999999</v>
      </c>
      <c r="M18" s="52">
        <f t="shared" si="5"/>
        <v>58375.200000000012</v>
      </c>
      <c r="N18" s="211">
        <v>0.8</v>
      </c>
      <c r="O18" s="226">
        <v>0</v>
      </c>
      <c r="P18" s="226">
        <v>0</v>
      </c>
      <c r="Q18" s="227">
        <v>0</v>
      </c>
      <c r="R18" s="227">
        <v>0</v>
      </c>
      <c r="S18" s="227">
        <v>0</v>
      </c>
      <c r="T18" s="228">
        <f t="shared" si="6"/>
        <v>233500.79999999999</v>
      </c>
      <c r="U18" s="226">
        <v>0</v>
      </c>
      <c r="V18" s="226">
        <v>0</v>
      </c>
      <c r="W18" s="227">
        <v>0</v>
      </c>
      <c r="X18" s="227">
        <v>0</v>
      </c>
      <c r="Y18" s="227">
        <v>0</v>
      </c>
      <c r="Z18" s="227">
        <v>0</v>
      </c>
      <c r="AA18" s="246" t="b">
        <f t="shared" si="0"/>
        <v>1</v>
      </c>
      <c r="AB18" s="247">
        <f t="shared" si="1"/>
        <v>0.8</v>
      </c>
      <c r="AC18" s="248" t="b">
        <f t="shared" si="2"/>
        <v>1</v>
      </c>
      <c r="AD18" s="248" t="b">
        <f t="shared" si="3"/>
        <v>1</v>
      </c>
    </row>
    <row r="19" spans="1:30" ht="30" customHeight="1" x14ac:dyDescent="0.25">
      <c r="A19" s="201">
        <v>17</v>
      </c>
      <c r="B19" s="193" t="s">
        <v>272</v>
      </c>
      <c r="C19" s="207" t="s">
        <v>50</v>
      </c>
      <c r="D19" s="193" t="s">
        <v>89</v>
      </c>
      <c r="E19" s="193">
        <v>1607013</v>
      </c>
      <c r="F19" s="193" t="s">
        <v>56</v>
      </c>
      <c r="G19" s="193" t="s">
        <v>273</v>
      </c>
      <c r="H19" s="193" t="s">
        <v>53</v>
      </c>
      <c r="I19" s="193">
        <v>0.26529999999999998</v>
      </c>
      <c r="J19" s="197" t="s">
        <v>248</v>
      </c>
      <c r="K19" s="196">
        <v>220785</v>
      </c>
      <c r="L19" s="49">
        <f t="shared" si="4"/>
        <v>176628</v>
      </c>
      <c r="M19" s="52">
        <f t="shared" si="5"/>
        <v>44157</v>
      </c>
      <c r="N19" s="211">
        <v>0.8</v>
      </c>
      <c r="O19" s="226">
        <v>0</v>
      </c>
      <c r="P19" s="226">
        <v>0</v>
      </c>
      <c r="Q19" s="227">
        <v>0</v>
      </c>
      <c r="R19" s="227">
        <v>0</v>
      </c>
      <c r="S19" s="227">
        <v>0</v>
      </c>
      <c r="T19" s="228">
        <f t="shared" si="6"/>
        <v>176628</v>
      </c>
      <c r="U19" s="226">
        <v>0</v>
      </c>
      <c r="V19" s="226">
        <v>0</v>
      </c>
      <c r="W19" s="227">
        <v>0</v>
      </c>
      <c r="X19" s="227">
        <v>0</v>
      </c>
      <c r="Y19" s="227">
        <v>0</v>
      </c>
      <c r="Z19" s="227">
        <v>0</v>
      </c>
      <c r="AA19" s="246" t="b">
        <f t="shared" si="0"/>
        <v>1</v>
      </c>
      <c r="AB19" s="247">
        <f t="shared" si="1"/>
        <v>0.8</v>
      </c>
      <c r="AC19" s="248" t="b">
        <f t="shared" si="2"/>
        <v>1</v>
      </c>
      <c r="AD19" s="248" t="b">
        <f t="shared" si="3"/>
        <v>1</v>
      </c>
    </row>
    <row r="20" spans="1:30" ht="30" customHeight="1" x14ac:dyDescent="0.25">
      <c r="A20" s="201">
        <v>18</v>
      </c>
      <c r="B20" s="193" t="s">
        <v>274</v>
      </c>
      <c r="C20" s="207" t="s">
        <v>50</v>
      </c>
      <c r="D20" s="193" t="s">
        <v>89</v>
      </c>
      <c r="E20" s="193">
        <v>1607013</v>
      </c>
      <c r="F20" s="193" t="s">
        <v>56</v>
      </c>
      <c r="G20" s="193" t="s">
        <v>275</v>
      </c>
      <c r="H20" s="193" t="s">
        <v>53</v>
      </c>
      <c r="I20" s="193">
        <v>0.105</v>
      </c>
      <c r="J20" s="197" t="s">
        <v>248</v>
      </c>
      <c r="K20" s="196">
        <v>51320</v>
      </c>
      <c r="L20" s="49">
        <f t="shared" si="4"/>
        <v>41056</v>
      </c>
      <c r="M20" s="52">
        <f t="shared" si="5"/>
        <v>10264</v>
      </c>
      <c r="N20" s="211">
        <v>0.8</v>
      </c>
      <c r="O20" s="226">
        <v>0</v>
      </c>
      <c r="P20" s="226">
        <v>0</v>
      </c>
      <c r="Q20" s="227">
        <v>0</v>
      </c>
      <c r="R20" s="227">
        <v>0</v>
      </c>
      <c r="S20" s="227">
        <v>0</v>
      </c>
      <c r="T20" s="228">
        <f t="shared" si="6"/>
        <v>41056</v>
      </c>
      <c r="U20" s="226">
        <v>0</v>
      </c>
      <c r="V20" s="226">
        <v>0</v>
      </c>
      <c r="W20" s="227">
        <v>0</v>
      </c>
      <c r="X20" s="227">
        <v>0</v>
      </c>
      <c r="Y20" s="227">
        <v>0</v>
      </c>
      <c r="Z20" s="227">
        <v>0</v>
      </c>
      <c r="AA20" s="246" t="b">
        <f t="shared" si="0"/>
        <v>1</v>
      </c>
      <c r="AB20" s="247">
        <f t="shared" si="1"/>
        <v>0.8</v>
      </c>
      <c r="AC20" s="248" t="b">
        <f t="shared" si="2"/>
        <v>1</v>
      </c>
      <c r="AD20" s="248" t="b">
        <f t="shared" si="3"/>
        <v>1</v>
      </c>
    </row>
    <row r="21" spans="1:30" ht="20.100000000000001" customHeight="1" x14ac:dyDescent="0.25">
      <c r="A21" s="326" t="s">
        <v>45</v>
      </c>
      <c r="B21" s="326"/>
      <c r="C21" s="326"/>
      <c r="D21" s="326"/>
      <c r="E21" s="326"/>
      <c r="F21" s="326"/>
      <c r="G21" s="326"/>
      <c r="H21" s="326"/>
      <c r="I21" s="262">
        <f>SUM(I3:I20)</f>
        <v>2.7513199999999998</v>
      </c>
      <c r="J21" s="263" t="s">
        <v>14</v>
      </c>
      <c r="K21" s="65">
        <f>SUM(K3:K20)</f>
        <v>3606545.1399999997</v>
      </c>
      <c r="L21" s="65">
        <f>SUM(L3:L20)</f>
        <v>2522700.3899999997</v>
      </c>
      <c r="M21" s="65">
        <f>SUM(M3:M20)</f>
        <v>1083844.75</v>
      </c>
      <c r="N21" s="264" t="s">
        <v>14</v>
      </c>
      <c r="O21" s="274">
        <f t="shared" ref="O21:Z21" si="7">SUM(O3:O20)</f>
        <v>0</v>
      </c>
      <c r="P21" s="274">
        <f t="shared" si="7"/>
        <v>0</v>
      </c>
      <c r="Q21" s="274">
        <f t="shared" si="7"/>
        <v>0</v>
      </c>
      <c r="R21" s="274">
        <f t="shared" si="7"/>
        <v>0</v>
      </c>
      <c r="S21" s="274">
        <f t="shared" si="7"/>
        <v>0</v>
      </c>
      <c r="T21" s="274">
        <f t="shared" si="7"/>
        <v>2522700.3899999997</v>
      </c>
      <c r="U21" s="274">
        <f t="shared" si="7"/>
        <v>0</v>
      </c>
      <c r="V21" s="274">
        <f t="shared" si="7"/>
        <v>0</v>
      </c>
      <c r="W21" s="274">
        <f t="shared" si="7"/>
        <v>0</v>
      </c>
      <c r="X21" s="274">
        <f t="shared" si="7"/>
        <v>0</v>
      </c>
      <c r="Y21" s="274">
        <f t="shared" si="7"/>
        <v>0</v>
      </c>
      <c r="Z21" s="274">
        <f t="shared" si="7"/>
        <v>0</v>
      </c>
      <c r="AA21" s="246" t="b">
        <f t="shared" ref="AA21:AA23" si="8">L21=SUM(O21:Z21)</f>
        <v>1</v>
      </c>
      <c r="AB21" s="247">
        <f>ROUND(L21/K21,4)</f>
        <v>0.69950000000000001</v>
      </c>
      <c r="AC21" s="248" t="s">
        <v>14</v>
      </c>
      <c r="AD21" s="248" t="b">
        <f t="shared" ref="AD21" si="9">K21=L21+M21</f>
        <v>1</v>
      </c>
    </row>
    <row r="22" spans="1:30" ht="20.100000000000001" customHeight="1" x14ac:dyDescent="0.25">
      <c r="A22" s="315" t="s">
        <v>39</v>
      </c>
      <c r="B22" s="316"/>
      <c r="C22" s="316"/>
      <c r="D22" s="316"/>
      <c r="E22" s="316"/>
      <c r="F22" s="316"/>
      <c r="G22" s="316"/>
      <c r="H22" s="317"/>
      <c r="I22" s="262">
        <f>SUMIF($C$3:$C$20,"N",I3:I20)</f>
        <v>2.7513199999999998</v>
      </c>
      <c r="J22" s="263" t="s">
        <v>14</v>
      </c>
      <c r="K22" s="65">
        <f>SUMIF($C$3:$C$20,"N",K3:K20)</f>
        <v>3606545.1399999997</v>
      </c>
      <c r="L22" s="65">
        <f>SUMIF($C$3:$C$20,"N",L3:L20)</f>
        <v>2522700.3899999997</v>
      </c>
      <c r="M22" s="65">
        <f>SUMIF($C$3:$C$20,"N",M3:M20)</f>
        <v>1083844.75</v>
      </c>
      <c r="N22" s="264" t="s">
        <v>14</v>
      </c>
      <c r="O22" s="274">
        <f t="shared" ref="O22:Z22" si="10">SUMIF($C$3:$C$20,"N",O3:O20)</f>
        <v>0</v>
      </c>
      <c r="P22" s="274">
        <f t="shared" si="10"/>
        <v>0</v>
      </c>
      <c r="Q22" s="274">
        <f t="shared" si="10"/>
        <v>0</v>
      </c>
      <c r="R22" s="274">
        <f t="shared" si="10"/>
        <v>0</v>
      </c>
      <c r="S22" s="274">
        <f t="shared" si="10"/>
        <v>0</v>
      </c>
      <c r="T22" s="274">
        <f t="shared" si="10"/>
        <v>2522700.3899999997</v>
      </c>
      <c r="U22" s="274">
        <f t="shared" si="10"/>
        <v>0</v>
      </c>
      <c r="V22" s="274">
        <f t="shared" si="10"/>
        <v>0</v>
      </c>
      <c r="W22" s="274">
        <f t="shared" si="10"/>
        <v>0</v>
      </c>
      <c r="X22" s="274">
        <f t="shared" si="10"/>
        <v>0</v>
      </c>
      <c r="Y22" s="274">
        <f t="shared" si="10"/>
        <v>0</v>
      </c>
      <c r="Z22" s="274">
        <f t="shared" si="10"/>
        <v>0</v>
      </c>
      <c r="AA22" s="246" t="b">
        <f t="shared" si="8"/>
        <v>1</v>
      </c>
      <c r="AB22" s="247">
        <f t="shared" ref="AB22" si="11">ROUND(L22/K22,4)</f>
        <v>0.69950000000000001</v>
      </c>
      <c r="AC22" s="248" t="s">
        <v>14</v>
      </c>
      <c r="AD22" s="248" t="b">
        <f t="shared" ref="AD22" si="12">K22=L22+M22</f>
        <v>1</v>
      </c>
    </row>
    <row r="23" spans="1:30" ht="20.100000000000001" customHeight="1" x14ac:dyDescent="0.25">
      <c r="A23" s="327" t="s">
        <v>40</v>
      </c>
      <c r="B23" s="327"/>
      <c r="C23" s="327"/>
      <c r="D23" s="327"/>
      <c r="E23" s="327"/>
      <c r="F23" s="327"/>
      <c r="G23" s="327"/>
      <c r="H23" s="327"/>
      <c r="I23" s="266">
        <f>SUMIF($C$3:$C$20,"W",I3:I20)</f>
        <v>0</v>
      </c>
      <c r="J23" s="267" t="s">
        <v>14</v>
      </c>
      <c r="K23" s="71">
        <f>SUMIF($C$3:$C$20,"W",K3:K20)</f>
        <v>0</v>
      </c>
      <c r="L23" s="71">
        <f>SUMIF($C$3:$C$20,"W",L3:L20)</f>
        <v>0</v>
      </c>
      <c r="M23" s="71">
        <f>SUMIF($C$3:$C$20,"W",M3:M20)</f>
        <v>0</v>
      </c>
      <c r="N23" s="268" t="s">
        <v>14</v>
      </c>
      <c r="O23" s="275">
        <f t="shared" ref="O23:Z23" si="13">SUMIF($C$3:$C$20,"W",O3:O20)</f>
        <v>0</v>
      </c>
      <c r="P23" s="275">
        <f t="shared" si="13"/>
        <v>0</v>
      </c>
      <c r="Q23" s="275">
        <f t="shared" si="13"/>
        <v>0</v>
      </c>
      <c r="R23" s="275">
        <f t="shared" si="13"/>
        <v>0</v>
      </c>
      <c r="S23" s="275">
        <f t="shared" si="13"/>
        <v>0</v>
      </c>
      <c r="T23" s="275">
        <f t="shared" si="13"/>
        <v>0</v>
      </c>
      <c r="U23" s="275">
        <f t="shared" si="13"/>
        <v>0</v>
      </c>
      <c r="V23" s="275">
        <f t="shared" si="13"/>
        <v>0</v>
      </c>
      <c r="W23" s="275">
        <f t="shared" si="13"/>
        <v>0</v>
      </c>
      <c r="X23" s="275">
        <f t="shared" si="13"/>
        <v>0</v>
      </c>
      <c r="Y23" s="275">
        <f t="shared" si="13"/>
        <v>0</v>
      </c>
      <c r="Z23" s="275">
        <f t="shared" si="13"/>
        <v>0</v>
      </c>
      <c r="AA23" s="246" t="b">
        <f t="shared" si="8"/>
        <v>1</v>
      </c>
      <c r="AB23" s="247" t="e">
        <f t="shared" ref="AB23" si="14">ROUND(L23/K23,4)</f>
        <v>#DIV/0!</v>
      </c>
      <c r="AC23" s="248" t="s">
        <v>14</v>
      </c>
      <c r="AD23" s="248" t="b">
        <f t="shared" ref="AD23" si="15">K23=L23+M23</f>
        <v>1</v>
      </c>
    </row>
    <row r="24" spans="1:30" x14ac:dyDescent="0.25">
      <c r="A24" s="40"/>
      <c r="AD24" s="276"/>
    </row>
    <row r="25" spans="1:30" x14ac:dyDescent="0.25">
      <c r="A25" s="33" t="s">
        <v>25</v>
      </c>
    </row>
    <row r="26" spans="1:30" x14ac:dyDescent="0.25">
      <c r="A26" s="34" t="s">
        <v>26</v>
      </c>
    </row>
    <row r="27" spans="1:30" x14ac:dyDescent="0.25">
      <c r="A27" s="33" t="s">
        <v>36</v>
      </c>
    </row>
    <row r="28" spans="1:30" x14ac:dyDescent="0.25">
      <c r="A28" s="277"/>
    </row>
  </sheetData>
  <customSheetViews>
    <customSheetView guid="{B4405FF1-036B-45AD-810F-8C9DF67F9D7F}" scale="85" showPageBreaks="1" showGridLines="0" fitToPage="1" printArea="1" view="pageBreakPreview">
      <selection activeCell="A7" sqref="A7:XFD7"/>
      <pageMargins left="0.23622047244094491" right="0.23622047244094491" top="0.74803149606299213" bottom="0.74803149606299213" header="0.31496062992125984" footer="0.31496062992125984"/>
      <pageSetup paperSize="8" scale="49" fitToHeight="0" orientation="landscape" r:id="rId1"/>
      <headerFooter>
        <oddHeader>&amp;LWojewództwo &amp;K000000Opolskie - &amp;K01+000zadania gminne lista rezerwowa</oddHeader>
        <oddFooter>Strona &amp;P z &amp;N</oddFooter>
      </headerFooter>
    </customSheetView>
    <customSheetView guid="{C76DCD22-0DC9-4799-A058-B64B837BBA0E}" scale="85" showPageBreaks="1" showGridLines="0" fitToPage="1" printArea="1" view="pageBreakPreview">
      <selection activeCell="A7" sqref="A7:XFD7"/>
      <pageMargins left="0.23622047244094491" right="0.23622047244094491" top="0.74803149606299213" bottom="0.74803149606299213" header="0.31496062992125984" footer="0.31496062992125984"/>
      <pageSetup paperSize="8" scale="49" fitToHeight="0" orientation="landscape" r:id="rId2"/>
      <headerFooter>
        <oddHeader>&amp;LWojewództwo &amp;K000000Opolskie - &amp;K01+000zadania gminne lista rezerwowa</oddHeader>
        <oddFooter>Strona &amp;P z &amp;N</oddFooter>
      </headerFooter>
    </customSheetView>
    <customSheetView guid="{E7CAF9DC-53CB-464B-97B7-E2DEFBC16359}" scale="85" showPageBreaks="1" showGridLines="0" fitToPage="1" printArea="1" view="pageBreakPreview">
      <selection activeCell="J4" sqref="J4"/>
      <pageMargins left="0.23622047244094491" right="0.23622047244094491" top="0.74803149606299213" bottom="0.74803149606299213" header="0.31496062992125984" footer="0.31496062992125984"/>
      <pageSetup paperSize="8" scale="49" fitToHeight="0" orientation="landscape" r:id="rId3"/>
      <headerFooter>
        <oddHeader>&amp;LWojewództwo &amp;K000000Opolskie - &amp;K01+000zadania gminne lista rezerwowa</oddHeader>
        <oddFooter>Strona &amp;P z &amp;N</oddFooter>
      </headerFooter>
    </customSheetView>
    <customSheetView guid="{CB410AB3-2DDF-47B7-B021-1F68EEA98257}" scale="85" showPageBreaks="1" showGridLines="0" fitToPage="1" printArea="1" showAutoFilter="1" view="pageBreakPreview" topLeftCell="A4">
      <selection activeCell="G17" sqref="G17"/>
      <pageMargins left="0.23622047244094491" right="0.23622047244094491" top="0.74803149606299213" bottom="0.74803149606299213" header="0.31496062992125984" footer="0.31496062992125984"/>
      <pageSetup paperSize="8" scale="49" fitToHeight="0" orientation="landscape" r:id="rId4"/>
      <headerFooter>
        <oddHeader>&amp;LWojewództwo &amp;K000000Opolskie - &amp;K01+000zadania gminne lista rezerwowa</oddHeader>
        <oddFooter>Strona &amp;P z &amp;N</oddFooter>
      </headerFooter>
      <autoFilter ref="A2:AD23" xr:uid="{00000000-0000-0000-0000-000000000000}"/>
    </customSheetView>
  </customSheetViews>
  <mergeCells count="18">
    <mergeCell ref="A22:H22"/>
    <mergeCell ref="D1:D2"/>
    <mergeCell ref="A23:H23"/>
    <mergeCell ref="E1:E2"/>
    <mergeCell ref="O1:Z1"/>
    <mergeCell ref="M1:M2"/>
    <mergeCell ref="N1:N2"/>
    <mergeCell ref="A21:H21"/>
    <mergeCell ref="I1:I2"/>
    <mergeCell ref="J1:J2"/>
    <mergeCell ref="K1:K2"/>
    <mergeCell ref="L1:L2"/>
    <mergeCell ref="A1:A2"/>
    <mergeCell ref="B1:B2"/>
    <mergeCell ref="C1:C2"/>
    <mergeCell ref="F1:F2"/>
    <mergeCell ref="G1:G2"/>
    <mergeCell ref="H1:H2"/>
  </mergeCells>
  <conditionalFormatting sqref="AD24 AB21:AD21 AA21:AA23">
    <cfRule type="cellIs" dxfId="13" priority="25" operator="equal">
      <formula>FALSE</formula>
    </cfRule>
  </conditionalFormatting>
  <conditionalFormatting sqref="AB21:AC21 AA21:AA23 AA3:AC20">
    <cfRule type="containsText" dxfId="12" priority="18" operator="containsText" text="fałsz">
      <formula>NOT(ISERROR(SEARCH("fałsz",AA3)))</formula>
    </cfRule>
  </conditionalFormatting>
  <conditionalFormatting sqref="AB3:AC20">
    <cfRule type="cellIs" dxfId="11" priority="20" operator="equal">
      <formula>FALSE</formula>
    </cfRule>
  </conditionalFormatting>
  <conditionalFormatting sqref="AA3:AA20">
    <cfRule type="cellIs" dxfId="10" priority="19" operator="equal">
      <formula>FALSE</formula>
    </cfRule>
  </conditionalFormatting>
  <conditionalFormatting sqref="AD3:AD20">
    <cfRule type="cellIs" dxfId="9" priority="17" operator="equal">
      <formula>FALSE</formula>
    </cfRule>
  </conditionalFormatting>
  <conditionalFormatting sqref="AD3:AD20">
    <cfRule type="cellIs" dxfId="8" priority="16" operator="equal">
      <formula>FALSE</formula>
    </cfRule>
  </conditionalFormatting>
  <conditionalFormatting sqref="AB23:AC23">
    <cfRule type="cellIs" dxfId="7" priority="15" operator="equal">
      <formula>FALSE</formula>
    </cfRule>
  </conditionalFormatting>
  <conditionalFormatting sqref="AB23:AC23">
    <cfRule type="containsText" dxfId="6" priority="13" operator="containsText" text="fałsz">
      <formula>NOT(ISERROR(SEARCH("fałsz",AB23)))</formula>
    </cfRule>
  </conditionalFormatting>
  <conditionalFormatting sqref="AD23">
    <cfRule type="cellIs" dxfId="5" priority="12" operator="equal">
      <formula>FALSE</formula>
    </cfRule>
  </conditionalFormatting>
  <conditionalFormatting sqref="AD23">
    <cfRule type="cellIs" dxfId="4" priority="11" operator="equal">
      <formula>FALSE</formula>
    </cfRule>
  </conditionalFormatting>
  <conditionalFormatting sqref="AB22:AC22">
    <cfRule type="containsText" dxfId="3" priority="8" operator="containsText" text="fałsz">
      <formula>NOT(ISERROR(SEARCH("fałsz",AB22)))</formula>
    </cfRule>
  </conditionalFormatting>
  <conditionalFormatting sqref="AB22:AC22">
    <cfRule type="cellIs" dxfId="2" priority="10" operator="equal">
      <formula>FALSE</formula>
    </cfRule>
  </conditionalFormatting>
  <conditionalFormatting sqref="AD22">
    <cfRule type="cellIs" dxfId="1" priority="7" operator="equal">
      <formula>FALSE</formula>
    </cfRule>
  </conditionalFormatting>
  <conditionalFormatting sqref="AD22">
    <cfRule type="cellIs" dxfId="0" priority="6" operator="equal">
      <formula>FALSE</formula>
    </cfRule>
  </conditionalFormatting>
  <dataValidations count="2">
    <dataValidation type="list" allowBlank="1" showInputMessage="1" showErrorMessage="1" sqref="H3:H20" xr:uid="{00000000-0002-0000-0400-000000000000}">
      <formula1>"B,P,R"</formula1>
    </dataValidation>
    <dataValidation type="list" allowBlank="1" showInputMessage="1" showErrorMessage="1" sqref="C3:C20" xr:uid="{00000000-0002-0000-04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Height="0" orientation="landscape" r:id="rId5"/>
  <headerFooter>
    <oddHeader>&amp;LWojewództwo &amp;K000000Opolskie - &amp;K01+000zadania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Bielicka Marzena</dc:creator>
  <cp:lastModifiedBy>Justyna Sperczyńska</cp:lastModifiedBy>
  <cp:lastPrinted>2023-09-11T08:50:25Z</cp:lastPrinted>
  <dcterms:created xsi:type="dcterms:W3CDTF">2019-02-25T10:53:14Z</dcterms:created>
  <dcterms:modified xsi:type="dcterms:W3CDTF">2024-03-08T07:38:30Z</dcterms:modified>
</cp:coreProperties>
</file>