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555" activeTab="4"/>
  </bookViews>
  <sheets>
    <sheet name="18 - podkarpac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Print_Area" localSheetId="0">'18 - podkarpackie'!$A$1:$O$35</definedName>
    <definedName name="_xlnm.Print_Area" localSheetId="2">'gm podst'!$A$1:$X$86</definedName>
    <definedName name="_xlnm.Print_Area" localSheetId="4">'gm rez'!$A$1:$X$59</definedName>
    <definedName name="_xlnm.Print_Area" localSheetId="1">'pow podst'!$A$1:$W$44</definedName>
    <definedName name="_xlnm.Print_Area" localSheetId="3">'pow rez'!$A$1:$W$29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fullCalcOnLoad="1"/>
</workbook>
</file>

<file path=xl/comments2.xml><?xml version="1.0" encoding="utf-8"?>
<comments xmlns="http://schemas.openxmlformats.org/spreadsheetml/2006/main">
  <authors>
    <author>Jerzy Pitera</author>
  </authors>
  <commentList>
    <comment ref="K3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2 862 662 zł</t>
        </r>
      </text>
    </comment>
    <comment ref="L3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1 908 442,81</t>
        </r>
      </text>
    </comment>
    <comment ref="Q3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2 862 662 zł</t>
        </r>
      </text>
    </comment>
    <comment ref="R2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2 135 197 zł</t>
        </r>
      </text>
    </comment>
    <comment ref="R2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500 000 zł</t>
        </r>
      </text>
    </comment>
    <comment ref="K2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8 540 791 zł</t>
        </r>
      </text>
    </comment>
    <comment ref="K2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3 356 957 zł</t>
        </r>
      </text>
    </comment>
    <comment ref="L2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8 540 792,9 zł</t>
        </r>
      </text>
    </comment>
    <comment ref="L2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3 356 957,52 zł</t>
        </r>
      </text>
    </comment>
  </commentList>
</comments>
</file>

<file path=xl/comments3.xml><?xml version="1.0" encoding="utf-8"?>
<comments xmlns="http://schemas.openxmlformats.org/spreadsheetml/2006/main">
  <authors>
    <author>Jerzy Pitera</author>
  </authors>
  <commentList>
    <comment ref="U54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Dofinansowanie do limitu Środków Funduszu, zwiększneie dofinansowania możliwe w przypadku wystąpienia oszczędności. Wnioskowana kwota dofinansowania na rok 2022: 3.293.294 zł - przekracza dopuszczalny limit dofinansowania na ten rok</t>
        </r>
      </text>
    </comment>
    <comment ref="L54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wnioskowana kwota dofinansowania: 7.746.781 zł została obniżona w związku z przekroczeniem limitu dofinansowania na rok 2022</t>
        </r>
      </text>
    </comment>
    <comment ref="L7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1 291 432 zł</t>
        </r>
      </text>
    </comment>
    <comment ref="M7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1 291 433,89 zł</t>
        </r>
      </text>
    </comment>
    <comment ref="R7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604 471 zł</t>
        </r>
      </text>
    </comment>
    <comment ref="S77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686 961 zł</t>
        </r>
      </text>
    </comment>
    <comment ref="S4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3 750 000 zł</t>
        </r>
      </text>
    </comment>
    <comment ref="L4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5 728 424 zł</t>
        </r>
      </text>
    </comment>
    <comment ref="M46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5 728 425,46 zł</t>
        </r>
      </text>
    </comment>
    <comment ref="M25" authorId="0">
      <text>
        <r>
          <rPr>
            <b/>
            <sz val="9"/>
            <rFont val="Tahoma"/>
            <family val="2"/>
          </rPr>
          <t xml:space="preserve">Jerzy Pitera:
</t>
        </r>
        <r>
          <rPr>
            <sz val="9"/>
            <rFont val="Tahoma"/>
            <family val="2"/>
          </rPr>
          <t>Wartość wkładu własnego z wniosku o dofinansowanie 1 526 157,53 zł</t>
        </r>
      </text>
    </comment>
    <comment ref="L2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1 526 156,00 zł</t>
        </r>
      </text>
    </comment>
    <comment ref="R25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935 515 zł</t>
        </r>
      </text>
    </comment>
    <comment ref="L60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698 136 zł</t>
        </r>
      </text>
    </comment>
    <comment ref="M60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698 136,95 zł</t>
        </r>
      </text>
    </comment>
    <comment ref="R60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698 136 zł</t>
        </r>
      </text>
    </comment>
  </commentList>
</comments>
</file>

<file path=xl/comments4.xml><?xml version="1.0" encoding="utf-8"?>
<comments xmlns="http://schemas.openxmlformats.org/spreadsheetml/2006/main">
  <authors>
    <author>Jerzy Pitera</author>
    <author>Rydzewska Paulina</author>
  </authors>
  <commentList>
    <comment ref="K21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6 000 000 zł</t>
        </r>
      </text>
    </comment>
    <comment ref="L21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Wartość wkładu własnego z wniosku o dofinansowanie 4 000 000 zł</t>
        </r>
      </text>
    </comment>
    <comment ref="Q21" authorId="0">
      <text>
        <r>
          <rPr>
            <b/>
            <sz val="9"/>
            <rFont val="Tahoma"/>
            <family val="2"/>
          </rPr>
          <t>Jerzy Pitera:</t>
        </r>
        <r>
          <rPr>
            <sz val="9"/>
            <rFont val="Tahoma"/>
            <family val="2"/>
          </rPr>
          <t xml:space="preserve">
Pełna wartość wnioskowanego dofinansowania 6 000 000 zł</t>
        </r>
      </text>
    </comment>
    <comment ref="G4" authorId="1">
      <text>
        <r>
          <rPr>
            <b/>
            <sz val="9"/>
            <rFont val="Tahoma"/>
            <family val="2"/>
          </rPr>
          <t>Rydzewska Paulina:</t>
        </r>
        <r>
          <rPr>
            <sz val="9"/>
            <rFont val="Tahoma"/>
            <family val="2"/>
          </rPr>
          <t xml:space="preserve">
przjęłam rodzaj zadania dla dłuższego odcinka</t>
        </r>
      </text>
    </comment>
  </commentList>
</comments>
</file>

<file path=xl/sharedStrings.xml><?xml version="1.0" encoding="utf-8"?>
<sst xmlns="http://schemas.openxmlformats.org/spreadsheetml/2006/main" count="1351" uniqueCount="637">
  <si>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</si>
  <si>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</si>
  <si>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</si>
  <si>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</si>
  <si>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</si>
  <si>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</si>
  <si>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</si>
  <si>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</si>
  <si>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</si>
  <si>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</si>
  <si>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</si>
  <si>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</si>
  <si>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</si>
  <si>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</si>
  <si>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</si>
  <si>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</si>
  <si>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</si>
  <si>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</si>
  <si>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</si>
  <si>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</si>
  <si>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</si>
  <si>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</si>
  <si>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</si>
  <si>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</si>
  <si>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</si>
  <si>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</si>
  <si>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</si>
  <si>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</si>
  <si>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</si>
  <si>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</si>
  <si>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</si>
  <si>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</si>
  <si>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</si>
  <si>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</si>
  <si>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</si>
  <si>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</si>
  <si>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</si>
  <si>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</si>
  <si>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</si>
  <si>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</si>
  <si>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</si>
  <si>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</si>
  <si>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</si>
  <si>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</si>
  <si>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</si>
  <si>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</si>
  <si>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</si>
  <si>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</si>
  <si>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K</t>
  </si>
  <si>
    <t>Powiat Sanocki</t>
  </si>
  <si>
    <t>P</t>
  </si>
  <si>
    <t>B</t>
  </si>
  <si>
    <t xml:space="preserve">Powiat Bieszczadzki </t>
  </si>
  <si>
    <t>1801</t>
  </si>
  <si>
    <t>Przebudowa drogi powiatowej nr 2273R Bóbrka - Łobozew w km 1+713 - 4+867 w m. Łobozew Dolny</t>
  </si>
  <si>
    <t>Powiat Niżański</t>
  </si>
  <si>
    <t>N</t>
  </si>
  <si>
    <t>W</t>
  </si>
  <si>
    <t>Powiat Stalowowolski</t>
  </si>
  <si>
    <t>Powiat Dębicki</t>
  </si>
  <si>
    <t>Powiat Jasielski</t>
  </si>
  <si>
    <t>Powiat Krośnieński</t>
  </si>
  <si>
    <t>Powiat Jarosławski</t>
  </si>
  <si>
    <t>Powiat Łańcucki</t>
  </si>
  <si>
    <t>Powiat Leżajski</t>
  </si>
  <si>
    <t>Powiat Tarnobrzeski</t>
  </si>
  <si>
    <t>Powiat Bieszczadzki</t>
  </si>
  <si>
    <t>Powiat Brzozowski</t>
  </si>
  <si>
    <t>Powiat Ropczycko-Sędziszowski</t>
  </si>
  <si>
    <t>Powiat Strzyżowski</t>
  </si>
  <si>
    <t>Powiat Lubaczowski</t>
  </si>
  <si>
    <t>R</t>
  </si>
  <si>
    <t>Miasto Stalowa Wola</t>
  </si>
  <si>
    <t>stalowowolski</t>
  </si>
  <si>
    <t>Budowa drogi gminnej ul. 11 Listopada w Stalowej Woli</t>
  </si>
  <si>
    <t>Gmina Krasne</t>
  </si>
  <si>
    <t>rzeszowski</t>
  </si>
  <si>
    <t>Budowa drogi Malawa Zagóra w miejscowości Malawa Gmina Krasne</t>
  </si>
  <si>
    <t>Gmina Łańcut</t>
  </si>
  <si>
    <t>łańcucki</t>
  </si>
  <si>
    <t>Gmina Miejsce Piastowe</t>
  </si>
  <si>
    <t>ropczycko-sędziszowski</t>
  </si>
  <si>
    <t>Gmina Nowa Sarzyna</t>
  </si>
  <si>
    <t>Gmina Sędziszów Małopolski</t>
  </si>
  <si>
    <t>Gmina Pilzno</t>
  </si>
  <si>
    <t>Budowa drogi gminnej publicznej "Albigowa - Granice" w miejscowości Albigowa</t>
  </si>
  <si>
    <t>Miasto Jarosław</t>
  </si>
  <si>
    <t>jarosławski</t>
  </si>
  <si>
    <t>Przebudowa wraz z rozbudową publicznej drogi gminnej nr 111320R - ul. Kraszewskiego w Jarosławiu</t>
  </si>
  <si>
    <t>04.2020 - 04.2022</t>
  </si>
  <si>
    <t>Budowa drogi gminnej - ul. Granicznej oraz przebudowa drogi gminnej - ul. Karnaty w celu połączenia ulicy Granicznej z drogą wojewódzką nr 855 - ul. Brandwicką w Stalowej Woli</t>
  </si>
  <si>
    <t>Miasto Dębica</t>
  </si>
  <si>
    <t>Gmina Hyżne</t>
  </si>
  <si>
    <t>Gmina Żołynia</t>
  </si>
  <si>
    <t>Miasto Krosno</t>
  </si>
  <si>
    <t>Krosno</t>
  </si>
  <si>
    <t>Rozbudowa ul. Polnej w Krośnie</t>
  </si>
  <si>
    <t>Gmina Radomyśl nad Sanem</t>
  </si>
  <si>
    <t>Powiat Mielecki</t>
  </si>
  <si>
    <t>Miasto Przemyśl</t>
  </si>
  <si>
    <t>Budowa ulicy 1KZ, rozbudowa ulicy M. Konopnickiej i Armii Krajowej w Sędziszowie Małopolskim</t>
  </si>
  <si>
    <t>Gmina Nowa Dęba</t>
  </si>
  <si>
    <t>Gmina Markowa</t>
  </si>
  <si>
    <t>1861011</t>
  </si>
  <si>
    <r>
      <t xml:space="preserve">Województwo: </t>
    </r>
    <r>
      <rPr>
        <sz val="10"/>
        <color indexed="10"/>
        <rFont val="Times New Roman"/>
        <family val="1"/>
      </rPr>
      <t>Podkarpackie</t>
    </r>
  </si>
  <si>
    <t>37/20/1</t>
  </si>
  <si>
    <t>11 2019-09.2022</t>
  </si>
  <si>
    <t>23/21</t>
  </si>
  <si>
    <t xml:space="preserve">Rozbudowa drogi powiatowej nr 1547R Albigowa - Handzlówka polegająca na budowie chodnika w m Albigowa i Handzlówka na terenie gminy Łańcut wraz z budową i przebudową infrastruktury technicznej w systemie zaprojektuj i wybuduj </t>
  </si>
  <si>
    <t>05.2021-10.2022</t>
  </si>
  <si>
    <t>43/21</t>
  </si>
  <si>
    <t>Przebudowa drogi powiatowej Nr 1778R Pruchnik - Kramarzówka - Helusz w km 0+000 - 8+365</t>
  </si>
  <si>
    <t>36/21</t>
  </si>
  <si>
    <t>Przebudowa drogi powiatowej Nr 1770R Kidałowice - Rokietnica w km 2+522 - 4+931 i 5+656 - 11+185</t>
  </si>
  <si>
    <t>06.2021-08.2023</t>
  </si>
  <si>
    <t>42/21</t>
  </si>
  <si>
    <t>Przebudowa drogi powiatowej nr 2006R Haczów - Besko w km 0+843 - 2+043 w miejscowości Haczów</t>
  </si>
  <si>
    <t>5/21</t>
  </si>
  <si>
    <t>Przebudowa drogi powiatowej nr 2224R Rozpucie-Ropienka w km 4+600 - 11+105 w m .Ropienka i Zawadka</t>
  </si>
  <si>
    <t>04.2021-09.2023</t>
  </si>
  <si>
    <t>18/21</t>
  </si>
  <si>
    <t>Powiat Rzeszowski</t>
  </si>
  <si>
    <t>Budowa i rozbudowa dróg powiatowych łączących gminę Boguchwała i gminę Lubenia z miastem Rzeszów</t>
  </si>
  <si>
    <t>06.2021-12.2027</t>
  </si>
  <si>
    <t>33/21</t>
  </si>
  <si>
    <t>Rozbudowa drogi powiatowej nr 2103R klasy "Z" - zbiorczej ul. Józefa Wysockiego w Przemyślu w km 2+164,40 - 4+559,69 wraz z odwodnieniem, oświetleniem oraz przebudową i zabezpieczeniem pozostałej infrastruktury technicznej - ETAP III od km 2+164,00 do km 2+700,00</t>
  </si>
  <si>
    <t>24/21</t>
  </si>
  <si>
    <t>Przebudowa drogi powiatowej nr 1657R Cieszanów - Nowe Brusno w km 0+000 - 1+800 wraz z infrastrukturą techniczną</t>
  </si>
  <si>
    <t>10/21</t>
  </si>
  <si>
    <t>Przebudowa drogi powiatowej Nr 1360R Ropczyce - Gnojnica wraz z leżącymi w jej ciągu ulicami Ogrodniczą i Leśną</t>
  </si>
  <si>
    <t>05.2021-10.2023</t>
  </si>
  <si>
    <t>232/20/1</t>
  </si>
  <si>
    <t>150/20/1</t>
  </si>
  <si>
    <t>12.2019 - 05.2023</t>
  </si>
  <si>
    <t>65/20/2</t>
  </si>
  <si>
    <t>08.2020 - 11.2023</t>
  </si>
  <si>
    <t>84/20/2</t>
  </si>
  <si>
    <t>09.2020 - 10.2022</t>
  </si>
  <si>
    <t>165/20/2</t>
  </si>
  <si>
    <t>50/20/2</t>
  </si>
  <si>
    <t>7/20/2</t>
  </si>
  <si>
    <t>powiat rzeszowski</t>
  </si>
  <si>
    <t>powiat dębicki</t>
  </si>
  <si>
    <t>powiat stalowowolski</t>
  </si>
  <si>
    <t>Przebudowa drogi gminnej nr 101001R o długości 1,659 km ul. Działkowa w Stalowej Woli</t>
  </si>
  <si>
    <t>Rozbudowa drogi gminnej, publicznej nr 109902R Zagumnia w miejscowości Markowa w km 0+000 - 2+730 - etap I</t>
  </si>
  <si>
    <t>06.2021-12.2023</t>
  </si>
  <si>
    <t>Przebudowa drogi gminnej Nr G 108454R Brzezówka - Hyżne - Dylągówka w km 0+000 - 0+995 w miejscowościach Hyżne oraz Dylągówka wraz z budową odcinka chodnika, przebudową przepustów oraz budową zatok postojowych</t>
  </si>
  <si>
    <t>Przebudowa drogi gminnej nr 100986R o km od 0+016,5 do 0+553,0 - ul. Gen. L. Okulickiego w Stalowej Woli</t>
  </si>
  <si>
    <t>Budowa drogi dojazdowej do Tarnobrzeskiej Specjalnej Strefy Ekonomicznej ulicy Śmiśniewicza w Nowej Dębie</t>
  </si>
  <si>
    <t>Gmina Dębica</t>
  </si>
  <si>
    <t>Budowa odcinka drogi gminnej D2-A w km 0+015 - 0+167 oraz drogi gminnej D2-B w km 0+320-0+915 w ramach zadania: Budowa dróg dojazdowych do terenów inwestycyjnych w Zawadzie</t>
  </si>
  <si>
    <t>powiat ropczycko-sędziszowski</t>
  </si>
  <si>
    <t>Przebudowa dróg gminnych obejmująca: Przebudowę drogi gminnej nr 114957R (ul. Potockiego wraz z budową chodnika w miejscowości Łężany w km 0+990 - 1+882; przebudowę drogi gminnej nr 114951R (ul. Nadrzeczna) wraz z budową chodnika w miejscowości Wrocanka w km 0+000 - 0+350</t>
  </si>
  <si>
    <t>Gmina Sędziszów Młp.</t>
  </si>
  <si>
    <t>Rozbudowa oraz budowa drogi gminnej wraz z niezbędną infrastrukturą w miejscowości Góra Ropczycka (za cmentarzem)</t>
  </si>
  <si>
    <t>Miasto i Gmina Kańczuga</t>
  </si>
  <si>
    <t>powiat przeworski</t>
  </si>
  <si>
    <t>Budowa - rozbudowa dróg gminnych publicznych nr G110740R Pantalowice - Siedleczka w km 0+078 - 1+200 i Nr G110789R Pantalowice - Rondo w km 0+031 - 0+629 miejscowości Pantalowice w gminie Kańczuga wraz z budową i przebudową infrastruktury technicznej</t>
  </si>
  <si>
    <t>Przebudowa dróg gminnych nr 105887 (ul. Mościckiego) i 105888 (ul. Metalowców) w Dębicy</t>
  </si>
  <si>
    <t>Rozbudowa i przebudowa drogi gminnej nr 104702R w miejscowościach Łętownia i Wólka Łętowska</t>
  </si>
  <si>
    <t>Rozbudowa drogi gminnej publiczne nr 109852R "Kraczkowa przez wieś" oraz drogi gminnej publicznej nr 109851R "Kraczkowa Działy Zachodnie"</t>
  </si>
  <si>
    <t>03.2021-10.2023</t>
  </si>
  <si>
    <t>Przebudowa drogi gminnej nr 106587R ul. Paderewskiego w Pilźnie w km 0+991,00 - 1+777,00</t>
  </si>
  <si>
    <t>04.2021-10.2022</t>
  </si>
  <si>
    <t>Przebudowa drogi gminnej nr 101304R Witkowice - Chwałowice - Łążek na odcinku Chwałowice - Łążek Chwałowski w km 1+000 - 5+658</t>
  </si>
  <si>
    <t>Przebudowa dróg gminnych w Żołyni ul. Białobrzeska "Do Szkoły" w km 0+011,00 - km 0+724,22 i "Zgumnie" w Brzózie Stadnickiej Cz. 2 w km 0+960 - 1+674,32</t>
  </si>
  <si>
    <t>06.2021-09.2022</t>
  </si>
  <si>
    <t>mnp</t>
  </si>
  <si>
    <t>Rozbudowa drogi gminnej nr 119502R ul. Sportowej w Krośnie</t>
  </si>
  <si>
    <t>04.2021-03.2023</t>
  </si>
  <si>
    <t>214/21</t>
  </si>
  <si>
    <t>95/21</t>
  </si>
  <si>
    <t>172/21</t>
  </si>
  <si>
    <t>204/21</t>
  </si>
  <si>
    <t>16/21</t>
  </si>
  <si>
    <t>190/21</t>
  </si>
  <si>
    <t>141/21</t>
  </si>
  <si>
    <t>88/21</t>
  </si>
  <si>
    <t>73/21</t>
  </si>
  <si>
    <t>152/21</t>
  </si>
  <si>
    <t>215/21</t>
  </si>
  <si>
    <t>83/21</t>
  </si>
  <si>
    <t>174/21</t>
  </si>
  <si>
    <t>72/21</t>
  </si>
  <si>
    <t>109/21</t>
  </si>
  <si>
    <t>39/21</t>
  </si>
  <si>
    <t>Powiat Kolbuszowski</t>
  </si>
  <si>
    <t>Przebudowa drogi powiatowej Nr 1162R Mielec - Rzochów - Przyłęk - Ostrowy Tuszowskie - Podtrąba w km 21+085 - 21+785 oraz rozbudowa drogi powiatowej Nr 1162R Mielec - Rzochów - Przyłęk - Ostrowy Tuszowskie - Podtrąba w km 21+785 - 23+638 w miejscowości Komorów</t>
  </si>
  <si>
    <t>Powiat Przeworski</t>
  </si>
  <si>
    <t>1818011</t>
  </si>
  <si>
    <t>1816092</t>
  </si>
  <si>
    <t>1810042</t>
  </si>
  <si>
    <t>1804011</t>
  </si>
  <si>
    <t>1815043</t>
  </si>
  <si>
    <t>Lista zadań rekomendowanych do dofinansowania w ramach Rządowego Funduszu Rozwoju Dróg</t>
  </si>
  <si>
    <t>11.2020 -08.2022</t>
  </si>
  <si>
    <t>09.2020 - 09.2024</t>
  </si>
  <si>
    <t>06.2021-10.2022</t>
  </si>
  <si>
    <t>11.2021-09.2023</t>
  </si>
  <si>
    <t>08.2021-08.2022</t>
  </si>
  <si>
    <t>09.2021-08.2023</t>
  </si>
  <si>
    <t>08.2021-11.2022</t>
  </si>
  <si>
    <t>11.2021-05.2023</t>
  </si>
  <si>
    <t>24/22</t>
  </si>
  <si>
    <t>Przebudowa drogi powiatowej nr 2257R Tarnawa - Kalnica w km od 2+761,40 do 7+100,00 wraz z obiektem mostowym przez rz. Kalniczkę w km 3+700,65</t>
  </si>
  <si>
    <t>04.2022 - 11.2024</t>
  </si>
  <si>
    <t>44/22</t>
  </si>
  <si>
    <t>Rozbudowa drogi powiatowej  nr 1369R w Gminie Rakszawa w systemie zaprojektuj i wybuduj</t>
  </si>
  <si>
    <t>08.2022 - 07.2023</t>
  </si>
  <si>
    <t>43/22</t>
  </si>
  <si>
    <t>Przebudowa drogi powiatowej nr 1069R od drogi 858 - Krzeszów</t>
  </si>
  <si>
    <t>03.2022 - 11.2022</t>
  </si>
  <si>
    <t>51/22</t>
  </si>
  <si>
    <t>Przebudowa drogi powiatowej nr 2116R Jaśliska - Czeremcha (Granica Państwa) w km 0+006,80 - 0+781; 0+900 - 1+100; 3+510 - 5+100</t>
  </si>
  <si>
    <t>07.2022 -06.2023</t>
  </si>
  <si>
    <t>29/22</t>
  </si>
  <si>
    <t>Powiat Leski</t>
  </si>
  <si>
    <t>Przebudowa drogi powiatowej nr 2293R Olszanica - Ropienka - Wojtkówka w m. Olszanica</t>
  </si>
  <si>
    <t>07.2022 - 06.2023</t>
  </si>
  <si>
    <t>14/22</t>
  </si>
  <si>
    <t>Przebudowa drogi powiatowej nr 1252R Cieplice Górne - Cieplice Dolne w km 0+000 - 7+020 wraz z niezbędną infrastrukturą techniczną.</t>
  </si>
  <si>
    <t>05.2022 - 09.2023</t>
  </si>
  <si>
    <t>18/22</t>
  </si>
  <si>
    <t>Przebudowa odcinka drogi powiatowej nr 1259R Gniewczyna (gr.pow.) Grodzisko - Giedlarowa w km 6+660 - 10+450</t>
  </si>
  <si>
    <t>04.2022 - 11.2023</t>
  </si>
  <si>
    <t>12/22</t>
  </si>
  <si>
    <t>Przebudowa drogi powiatowej nr 1642R Dębiny - Łukawica km 0+622 do 3+800</t>
  </si>
  <si>
    <t>23/22</t>
  </si>
  <si>
    <t>Przebudowa drogi powiatowej nr 2227R Załuż - Lesko w km od 0+015 do 0+087 i od 0+090 do 2+654 w m. Załuż z wykonaniem opaski brzegowej</t>
  </si>
  <si>
    <t>04.2022 - 11.2022</t>
  </si>
  <si>
    <t>7/22</t>
  </si>
  <si>
    <t>Odbudowa mostu przez potok Piątkówka w miejscowości Piątkowa w ciągu drogi powiatowej Nr 1427R Piątkowa - Futoma - Ulanica - Dynów km 0+150 (km potoku 2+900) oraz odbudowa zniszczonego obiektu mostowego przez potok Futomka w miejscowości Futoma w ciągu drogi powiatowej nr 1427R Piątkowa - Futoma - Ulanica - Dynów km 3+000,00 (km potoku 3+230)</t>
  </si>
  <si>
    <t>16/22</t>
  </si>
  <si>
    <t>Przebudowa drogi powiatowej nr 1006R Radomyśl - Skowierzyn w m. Radomyśl n/Sanem od km 0+000 do km 1+646,32</t>
  </si>
  <si>
    <t>06.2022 - 09.2023</t>
  </si>
  <si>
    <t>41/22</t>
  </si>
  <si>
    <t>Przebudowa drogi powiatowej nr 1180R Dębica - gr. pow. Zdziarzec w km 7+747 - 10+342 w m. Wiewiórka  i Róża</t>
  </si>
  <si>
    <t>06.2022 - 05.2023</t>
  </si>
  <si>
    <t>54/22</t>
  </si>
  <si>
    <t>Przebudowa drogi powiatowej Nr 1704R Wiązownica - Radawa - Wola Mołodycka w km 0+007 - 0+834,78, 0+983,1 - 8+487, 8+535 - 11+080 i drogi Nr 1707 Wiązownica - Piwoda - Olchowa w km 1+068 - 2+248</t>
  </si>
  <si>
    <t>07.2022 - 10.2023</t>
  </si>
  <si>
    <t>38/22</t>
  </si>
  <si>
    <t>Przebudowa drogi powiatowej nr 2304R Polana - Lutowiska w km 2+447 - 7+562 m. Skorodne</t>
  </si>
  <si>
    <t>04.2022 - 09.2026</t>
  </si>
  <si>
    <t>10/22</t>
  </si>
  <si>
    <t>Przebudowa dróg powiatowych na terenie Gminy Dzikowiec: przebudowa drogi powiatowej Nr 1218R Kolbuszowa Dolna - Kopcie w km 10+500 - 11+385, przebudowa drogi powiatowej Nr 1212R Lipnica - Dzikowiec - Widełka polegająca na budowie chodnika dla pieszych w km 2+180 do km 2+410 oraz przebudowa drogi powiatowej Nr 1205R Wilcza Wola - Wola Raniżowska w km 3+149 - 3+408 polegająca na budowie chodnika w miejscowości Wilcza Wola</t>
  </si>
  <si>
    <t>03.2022 - 10.2022</t>
  </si>
  <si>
    <t>35/22</t>
  </si>
  <si>
    <t>Przebudowa ciągu dróg powiatowych Nr 1878R Dobrynia - Zawadka Osiecka - Załęże i Nr 1881R Dębowiec - Załęże - Osiek Jasielski w miejscowościach Zawadka Osiecka i Osiek Jasielski</t>
  </si>
  <si>
    <t>03.2022 - 09.2022</t>
  </si>
  <si>
    <t>9/22</t>
  </si>
  <si>
    <t>Rozbudowa drogi powiatowej Nr 1176R Tuszyma - Niwiska - Kolbuszowa od km 8+400 do km 9+528 w miejscowości Niwiska</t>
  </si>
  <si>
    <t>46/22</t>
  </si>
  <si>
    <t>Budowa nowego odcinka drogi powiatowej nr 1172R relacji Rzemień - Dobrynin, klasy L o dług. 855 m wraz z budową nowego skrzyżowania z drogą wojewódzką nr 985 w m. Rzemień</t>
  </si>
  <si>
    <t>04.2022 - 12.2022</t>
  </si>
  <si>
    <t>25/22</t>
  </si>
  <si>
    <t>Przebudowa i rozbudowa drogi powiatowej nr 1094R relacji Furmany - Żupawa - Stale w miejscowości Żupawa (etap II ) w km 2+005 - 2+639,7</t>
  </si>
  <si>
    <t>06.2022 - 10.2022</t>
  </si>
  <si>
    <t>20/22</t>
  </si>
  <si>
    <t>Przebudowa odcinka drogi powiatowej nr 1250R Kuryłówka - Kolonia polska - cieplice (gr. pow.) w km 5+409 - 11+127</t>
  </si>
  <si>
    <t>05.2022 - 11.2023</t>
  </si>
  <si>
    <t>1/22</t>
  </si>
  <si>
    <t>Powiat Ropczycko - Sędziszowski</t>
  </si>
  <si>
    <t>Przebudowa drogi powiatowej nr 1360R Ropczyce-Gnojnica wraz z leżącymi w jej ciągu ulicami Ogrodnicza i Leśną</t>
  </si>
  <si>
    <t>40/22</t>
  </si>
  <si>
    <t>Przebudowa  drogi powiatowej nr 1284R Ostrów - gr. pow. - Brzeźnica w km 1+466 - 7+363 etap II w km 1+466 - 5+200 oraz 6+150 - 7+363</t>
  </si>
  <si>
    <t>05.2022 - 12.2023</t>
  </si>
  <si>
    <t>30/22</t>
  </si>
  <si>
    <t>Przebudowa drogi powiatowej nr 2024R Domaradz - Przysietnica w miejscowości Domaradz i Golcowa</t>
  </si>
  <si>
    <t>05.2022 - 10.2022</t>
  </si>
  <si>
    <t>8/22</t>
  </si>
  <si>
    <t>Przebudowa drogi powiatowej Nr 1162R Mielec - Rzochów - Przyłęk - Ostrowy Tuszowskie - Podtrąba w km 13+140 do km 14+708 w miejscowości Ostrowy Tuszowskie</t>
  </si>
  <si>
    <t>34/22</t>
  </si>
  <si>
    <t>Przebudowa drogi powiatowej nr 1843R Szebnie - Bierówka - Szebnie w km 0+852 - 1+850 w miejscowości Bierówka</t>
  </si>
  <si>
    <t>3/22</t>
  </si>
  <si>
    <t>Przebudowa drogi powiatowej nr 1837R Kołaczyce - Sieklówka - Lubla w km 0+630 - 1+560 wraz z poprawą warunków bezpieczeństwa pieszych</t>
  </si>
  <si>
    <t>03.2022 -10.2022</t>
  </si>
  <si>
    <t>4/22</t>
  </si>
  <si>
    <t>Przebudowa drogi powiatowej nr 1917R Czudec - Wyżne w km 2+700 - 3+620 wraz z poprawą waunków bezpieczeństwa pieszych</t>
  </si>
  <si>
    <t>13/22</t>
  </si>
  <si>
    <t>Przebudowa drogi powiatowej nr 1688R Lubaczów - Basznia - I etap odcinek w km 0+005,5 do 0+739,4</t>
  </si>
  <si>
    <t>39/22</t>
  </si>
  <si>
    <t>Przebudowa drogi powiatowej nr 2300R Jasień - Jałowe - Bandrów Narodowy w km 6+019 - 6+460 i 6+720 - 8+700 w miejscowości Bandrów Narodowy</t>
  </si>
  <si>
    <t>04.2022 - 12.2023</t>
  </si>
  <si>
    <t>6/22</t>
  </si>
  <si>
    <t>Remont mostu na rzece Trzebośnica w ciągu drogi powiatowej Nr 1217R Hucisko - NIenadówka - Trzeboś Górna w km 23+351</t>
  </si>
  <si>
    <t>48/22</t>
  </si>
  <si>
    <t>Przebudowa dróg powiatowych nr 1515R, 1523R, 1517R altenatywną obwodnicą dla drogi krajowej nr 94</t>
  </si>
  <si>
    <t>49/22</t>
  </si>
  <si>
    <t>Przebudowa dróg powiatowych nr 1375R i 1522R w Gminie Czarna</t>
  </si>
  <si>
    <t>55/22</t>
  </si>
  <si>
    <t>Budowa drogi powiatowej Nr 1719R Jarosław - Wietlin - Łazy w km 2+490 - 3+712 wraz z budową mostu na rzece Szkło w km 2+787</t>
  </si>
  <si>
    <t>06.2022 - 11.2022</t>
  </si>
  <si>
    <t>45/22</t>
  </si>
  <si>
    <t>Przebudowa i rozbudowa mostu w ciągu drogi powiatowej nr 1941R Wojaszówka - Łączki Jagiellońskie w km 1+202 o nr JNI 01015415 wraz z przebudową drogi powiatowej od km 1+022 do km 1+390 wraz z przebudową sieci wodociągowej i teletechnicznej w miejscowości Łączki Jagiellońskie Gmina Wojaszówka</t>
  </si>
  <si>
    <t>33/22</t>
  </si>
  <si>
    <t>Przebudowa drogi powiatowej nr 1313R Jasło - Błażkowa - Jodłowa w km 7+648 - 8+646 w miejscowości Wróblowa</t>
  </si>
  <si>
    <t>57/22</t>
  </si>
  <si>
    <t>Przebudowa drogi powiatowej Nr 1713R, klasy "L" - lokalna relacji Grochowe II - Trześń - Mielec w km 0+000 - 0+850,65 w m. Grochowe II</t>
  </si>
  <si>
    <t>04.2022 - 08.2022</t>
  </si>
  <si>
    <t>22/22</t>
  </si>
  <si>
    <t>Przebudowa drogi powiatowej nr 2231R (ulica Mickiewicza w Sanoku - Śródmieście) na dz. 93/1, 93/4 i 93/6 o długości 0,705 km</t>
  </si>
  <si>
    <t>03.2022 - 09.2023</t>
  </si>
  <si>
    <t>31/22</t>
  </si>
  <si>
    <t>Przebudowa drogi powiatowej nr 1428R Nozdrzec - Łubno w Nozdrzcu</t>
  </si>
  <si>
    <t>5/22</t>
  </si>
  <si>
    <t>Remont drogi powiatowej Nr 1388R Trzciana - Nosówka - Zwięczyca w km 0+000 do 6+240 w miejscowości Trziciana i Błędowa Zgłobieńska</t>
  </si>
  <si>
    <t>12.2019 - 8.2022</t>
  </si>
  <si>
    <t>03.2021-06.2023</t>
  </si>
  <si>
    <t>08.2021-09.2022</t>
  </si>
  <si>
    <t>03.2021-03.2023</t>
  </si>
  <si>
    <t>07.2021-10.2023</t>
  </si>
  <si>
    <t>07.2021-09.2022</t>
  </si>
  <si>
    <t>05.2021-08.2022</t>
  </si>
  <si>
    <t>08.2021-07.2023</t>
  </si>
  <si>
    <t>08.2021-10.2023</t>
  </si>
  <si>
    <t>09.2021-11.2023</t>
  </si>
  <si>
    <t>59/22</t>
  </si>
  <si>
    <t>Gmina Trzebownisko</t>
  </si>
  <si>
    <t>Rozbudowa drogi gminnej 108815 wraz z infrastrukturą techniczną, budowlami i urządzeniami budowlanymi  w miejscowości Zaczernie. Gmina Trzebownisko oraz na odcinku drogi położonej na działce nr ewid. 188/2 (188) zlokalizowanej na terenie miasta Rzeszowa obręb 0229 Pogwizdów, leżącej w ciągu drogi gminnej 108815 wraz z rozbiórką istniejącego i budową nowego mostu na rzece Czarna w miejscowości Zaczernie gmina Trzebownisko</t>
  </si>
  <si>
    <t>164/22</t>
  </si>
  <si>
    <t>Gmina Miasto Krosno</t>
  </si>
  <si>
    <t>Rozbudowa drogi gminnej nr 119636R - ulicy I. J. Paderewskiego w Krośnie wraz z rozbiórką i budową obiektu mostowego przez potok Lubatówka</t>
  </si>
  <si>
    <t>07.2022 -09.2023</t>
  </si>
  <si>
    <t>ropczycko -sędziszowski</t>
  </si>
  <si>
    <t>Rozbudowa i przebudowa drogi gminnej nr 107605R w Czarnej Sędziszowskiej od skrzyżowania z drogą wojewódzką nr 987 do drogi powiatowej nr 1330R w Boreczku (0+000 - 4+370,30)</t>
  </si>
  <si>
    <t>07.2022 - 12.2024</t>
  </si>
  <si>
    <t>114/22</t>
  </si>
  <si>
    <t>Rozbudowa dróg gminnych publicznych: Nr 109882R "Od przystanku PKP do stacji uzdatniania wody"  w km 0+000 - 1+512,60, Nr 109885R "Od drogi krajowej nr 94 do Granic" w km 0+554 - 2+800 oraz Nr 109884R Kosina - Rogóżno "Puchałówka" w km 0+000 - 2+440 w miejscowości Głuchów, Kosina i Rogóżno</t>
  </si>
  <si>
    <t>06.2022 - 05.2025</t>
  </si>
  <si>
    <t>58/22</t>
  </si>
  <si>
    <t>Rozbudowa drogi gminnej 108811 wraz z infrastruktura techniczną, budowlami i urządzeniami budowlanymi oraz rozbiórką istniejącego i budowę nowego mostu nad potokiem Szuwarka w miejscowości Jasionka gmina Trzebownisko</t>
  </si>
  <si>
    <t>03.2022 - 06.2023</t>
  </si>
  <si>
    <t>61/22</t>
  </si>
  <si>
    <t>Gmina Pawłosiów</t>
  </si>
  <si>
    <t>Przebudowa drogi gminnej nr 111602R Tywonia - Wierzbna km 0+996 - 1+995</t>
  </si>
  <si>
    <t>06.2022 - 06.2024</t>
  </si>
  <si>
    <t>Gmina Chłopice</t>
  </si>
  <si>
    <t>Przebudowa, rozbudowa drogi gminnej nr 111451R poprzez budowę chodnika w miejscowości Jankowice Etap 1B od km 0+300 do km 0+385, Etap 2 od km 0+781 do km 1+395</t>
  </si>
  <si>
    <t>03.2022 - 12.2022</t>
  </si>
  <si>
    <t>132/22</t>
  </si>
  <si>
    <t>Gmina Fredropol</t>
  </si>
  <si>
    <t>przemyski</t>
  </si>
  <si>
    <t>Przebudowa drogi gminnej nr 116110R Fredropol-Os. Młodowice - Kupiatycze w km 1+800 - 2+636</t>
  </si>
  <si>
    <t>06.2022 - 07.2022</t>
  </si>
  <si>
    <t>21/22</t>
  </si>
  <si>
    <t>Gmina Dębowiec</t>
  </si>
  <si>
    <t>jasielski</t>
  </si>
  <si>
    <t>Remont drogi gminnej nr 113267R Folusz - Dobrynia, w km 0+421 - 1+397 w miejscowości Folusz</t>
  </si>
  <si>
    <t>04.2022 - 09.2022</t>
  </si>
  <si>
    <t>15/22</t>
  </si>
  <si>
    <t>Gmina Wojaszówka</t>
  </si>
  <si>
    <t>krośnieński</t>
  </si>
  <si>
    <t>Rozbudowa, przebudowa, ciągu drogi gminnej Nr 115154R oraz drogi wewnętrznej dz. Nr ewid. 753/41 i Nr 753/27  miejscowości Łęki Strzyżowskie wraz z budową mostu przez rzekę Wisłok w miejscowości Łęki Strzyżowskie</t>
  </si>
  <si>
    <t>203/22</t>
  </si>
  <si>
    <t>Gmina Gorzyce</t>
  </si>
  <si>
    <t>tarnobrzeski</t>
  </si>
  <si>
    <t>Budowa drogi gminnej 2KDL w Gorzycach i Motyczu Poduchownym</t>
  </si>
  <si>
    <t>172/22</t>
  </si>
  <si>
    <t>Gmina Wielopole Skrzyńskie</t>
  </si>
  <si>
    <t>Przebudowa drogi gminnej Brzeziny - Bukowina - Mała nr 107736R w km 1+300 - 3+665</t>
  </si>
  <si>
    <t>68/22</t>
  </si>
  <si>
    <t>Gmina Ostrów</t>
  </si>
  <si>
    <t>Przebudowa drogi gminnej nr 107457R Zagrody - Huta Przedborska w miejscowości Kamionka, Gmina Ostrów</t>
  </si>
  <si>
    <t>07.2022 - 08.2024</t>
  </si>
  <si>
    <t>94/22</t>
  </si>
  <si>
    <t>Gmina Przemyśl</t>
  </si>
  <si>
    <t>Przebudowa drogi gminnej nr 116460R Malhowice - Stanisławczyk w km 0+161 - 0+412 oraz 1+387 - 2+135</t>
  </si>
  <si>
    <t>205/22</t>
  </si>
  <si>
    <t>Gmina Chorkówka</t>
  </si>
  <si>
    <t>Przebudowa drogi gminnej Nr 114423R Zręcin - Szczepańcowa wraz z budową chodnika w miejscowości Szczepańcowa</t>
  </si>
  <si>
    <t>Gmina Orły</t>
  </si>
  <si>
    <t>Przebudowa drogi gminnej nr 116379R wraz z chodnikiem dla pieszych w m-ci Małkowice od km 0+000-0+706</t>
  </si>
  <si>
    <t>Przebudowa drogi gminnej nr 114951R (ul. Nadrzeczna) wraz z budową chodnika w miejscowości Wrocanka w km 0+355 - 0+565</t>
  </si>
  <si>
    <t>157/22</t>
  </si>
  <si>
    <t>Gmina Sanok</t>
  </si>
  <si>
    <t>sanocki</t>
  </si>
  <si>
    <t>Przebudowa drogi gminnej Prusiek - Płowce na terenie Gminy Sanok</t>
  </si>
  <si>
    <t>180/22</t>
  </si>
  <si>
    <t>Gmina Besko</t>
  </si>
  <si>
    <t>Przebudowa drogi gminnej nr 117201R ul. Błonie w Besku o długości 0,53</t>
  </si>
  <si>
    <t>07.2022 - 10.2022</t>
  </si>
  <si>
    <t>110/22</t>
  </si>
  <si>
    <t>Gmina Zarszyn</t>
  </si>
  <si>
    <t>Przebudowa drogi gminnej nr 149002R w Pielni</t>
  </si>
  <si>
    <t>06.2022 - 08.2022</t>
  </si>
  <si>
    <t>143/22</t>
  </si>
  <si>
    <t>Gmina Stalowa Wola</t>
  </si>
  <si>
    <t>Rozbudowa wraz z budową nowego odcinka drogi gminnej nr G101032R - ul. Spacerowej oraz przebudowa skrzyżowania z drogą wojewódzką (starodrożem DK77) - ul. Energetyków w Stalowej Woli</t>
  </si>
  <si>
    <t>06.2022 - 05.2024</t>
  </si>
  <si>
    <t>145/22</t>
  </si>
  <si>
    <t>Gmina Brzostek</t>
  </si>
  <si>
    <t>dębicki</t>
  </si>
  <si>
    <t>Rozbudowa odcinka drogi gminnej o nr 106135R Przeczyca-Skurowa od 1+968 - 2+682 wraz z niezbędną rozbudową/przebudową skrzyżowań oraz infrastrukturą towarzyszącą</t>
  </si>
  <si>
    <t>63/22</t>
  </si>
  <si>
    <t>Gmina Horyniec Zdrój</t>
  </si>
  <si>
    <t>lubaczowski</t>
  </si>
  <si>
    <t>Kompleksowa przebudowa dróg w Dzielnicy Lecznictwa Uzdrowiskowego w Horyńcu Zdroju - II etap obwodnicy DLU drogi gminna na G105064r ul. Wodna w km 0+460 - 1+010, ul. Rolna w km 0+000 - 0+270</t>
  </si>
  <si>
    <t>01.2022 - 11.2022</t>
  </si>
  <si>
    <t>93/22</t>
  </si>
  <si>
    <t>Gmina Żyraków</t>
  </si>
  <si>
    <t>Przebudowa drogi gminnej publicznej nr 106707R w km 0+000 - 0+735 w miejscowości Bobrowa Wola</t>
  </si>
  <si>
    <t>169/22</t>
  </si>
  <si>
    <t>Przebudowa drogi gminnej nr 106573R w Dobrkowie w km 1+703,00 - 2+474,00</t>
  </si>
  <si>
    <t>82/22</t>
  </si>
  <si>
    <t>Gmina Przeworsk</t>
  </si>
  <si>
    <t>przeworski</t>
  </si>
  <si>
    <t>Przebudowa drogi gminnej nr 110827R w km 0+000 - 0+507 w Rozborzu i ul. Pod Rozborzem w Przeworsku, Przebudowa drogi gminnej Rozbórz - Gorliczyna w km 0+000 - 0+369 i od km 0+952 - 2+458,5.</t>
  </si>
  <si>
    <t>05.2022 - 11.2022</t>
  </si>
  <si>
    <t>159/22</t>
  </si>
  <si>
    <t>Gmina Kamień</t>
  </si>
  <si>
    <t>Remont drogi gminnej nr 108504R Cholewiana Góra - Podlesie - Poręby Wolskie od km 0+000 do km 7+340, ul. Myśliwska w miejscowości Kamień</t>
  </si>
  <si>
    <t>140/22</t>
  </si>
  <si>
    <t>Gmina Boguchwała</t>
  </si>
  <si>
    <t xml:space="preserve">Remont drogi gminnej nr 108189R w Mogielnicy i Niechobrzu w km od 0+025 do 1+633 oraz remont drogi gminnej nr 151502R w Niechobrzu w km od 0+025 do 0+334 </t>
  </si>
  <si>
    <t>04.2022 - 06.2022</t>
  </si>
  <si>
    <t>67/22</t>
  </si>
  <si>
    <t>Gmina Krościenko Wyżne</t>
  </si>
  <si>
    <t>Remont drogi gminnej nr 114905R ul. Sportowa, ul. Księża w Krościenku Wyżnym w km 0+180 - 0+520</t>
  </si>
  <si>
    <t>05.2022 - 08.2022</t>
  </si>
  <si>
    <t>89/22</t>
  </si>
  <si>
    <t>Gmina Skołyszyn</t>
  </si>
  <si>
    <t>Remont dróg gminnych na terenie Gminy Skołyszyn, w tym droga nr 113710R relacji Lisówek - Lisów w km 0+000 - 0+980 i droga nr 113713R Skołyszyn dz. 666, 665/9, 703, 701 w km 0+216 - 0+562 w m. Skołyszyn oraz droga nr 113653R "Nadole - Kurpiel" w km 0+634 - 1+324 w m. Święcany</t>
  </si>
  <si>
    <t>136/22</t>
  </si>
  <si>
    <t>Gmina Miasta Dębica</t>
  </si>
  <si>
    <t>Budowa drogi gminnej - ul. Saperów w Dębicy</t>
  </si>
  <si>
    <t>124/22</t>
  </si>
  <si>
    <t>Przebudowa drogi wewnętrznej gminnej w Km 0+000,00 - 0+310,70 oraz budowa drogi wewnętrznej gminnej w Km 0+000,00 - 0+331,30 w m. Pustynia</t>
  </si>
  <si>
    <t>23*</t>
  </si>
  <si>
    <t>11*</t>
  </si>
  <si>
    <t>26/22</t>
  </si>
  <si>
    <t>191/22</t>
  </si>
  <si>
    <t>Gmina Pruchnik</t>
  </si>
  <si>
    <t>Przebudowa ciągu dróg gminnych nr 111686R (ul. Przemyskiej) od km 0+000 do km 0+327,5 oraz nr 111658R (ul. Wiejskiej) od km 0+000 do km 1+073,9 wraz z remontem mostu w km 0+128 na rzece Mleczka Wschodnia w m. Pruchnik</t>
  </si>
  <si>
    <t>127/22</t>
  </si>
  <si>
    <t>Przebudowa drogi gminnej nr 106353R w Km 0+014,27 - 0+942,75 w m. Podgrodzie</t>
  </si>
  <si>
    <t>07.2022 - 09.2023</t>
  </si>
  <si>
    <t>65/22</t>
  </si>
  <si>
    <t>Gmina Harasiuki</t>
  </si>
  <si>
    <t>niżański</t>
  </si>
  <si>
    <t>Przebudowa drogi gminnej nr 102111R ul. Spokojna w miejscowości Harasiuki od km 0+000 do km 0+855</t>
  </si>
  <si>
    <t>177/22</t>
  </si>
  <si>
    <t>Gmina Jarosław</t>
  </si>
  <si>
    <t>Przebudowa drogi gminnej poprzez budowę chodnika na działce ewidencyjnej nr 179 i 193/4 w miejscowości Zgoda od km 0+746 do km 1+253</t>
  </si>
  <si>
    <t>05.2022 - 12.2022</t>
  </si>
  <si>
    <t>210/22</t>
  </si>
  <si>
    <t>Gmina Narol</t>
  </si>
  <si>
    <t>Budowa wraz z przebudową drogi gminnej Nr 105157R na dz. nr ewid. 324, 58/1, 57/14, 58/6, 5/30, 397/1, 408/1, 536/3 w km 0+003 - 0+505 w miejscowości Narol</t>
  </si>
  <si>
    <t>100/22</t>
  </si>
  <si>
    <t>Miasto Radymno</t>
  </si>
  <si>
    <t>Przebudowa drogi gminnej nr 1815R (ul. Dolna) w Radymnie</t>
  </si>
  <si>
    <t>Gmina Lubenia</t>
  </si>
  <si>
    <t>Przebudowa drogi gminnej Straszydle - Rola nr 108611R na odcinku od km 0+000 do km 0+995</t>
  </si>
  <si>
    <t>04.2022 - 10.2022</t>
  </si>
  <si>
    <t>83/22</t>
  </si>
  <si>
    <t>Gmina Tryńcza</t>
  </si>
  <si>
    <t>Przebudowa drogi gminnej nr 111034R Wólka Ogryzkowa - Gorzyce - Jagiełła</t>
  </si>
  <si>
    <t>Gmina Komańcza</t>
  </si>
  <si>
    <t>Przebudowa drogi gminnej nr 117301R Rzepedź - Przybyszów w km 0+224 do 1+136 w miejscowości Rzepedź</t>
  </si>
  <si>
    <t>91/22</t>
  </si>
  <si>
    <t>Gmina Haczów</t>
  </si>
  <si>
    <t>brzozowski</t>
  </si>
  <si>
    <t>Przebudowa drogi gminnej kat. "L" o nr 115726R w km od 0+000 do 0+880 Jabłonica Polska - Kombornia w miejscowości Jabłonica Polska</t>
  </si>
  <si>
    <t>05.2022 - 07.2022</t>
  </si>
  <si>
    <t>Przebudowa drogi gminnej nr 116389R w m-ci Orły od km 0+000 - 0+650</t>
  </si>
  <si>
    <t>Remont drogi gminnej Nr 111452R Droga przez wieś Chłopice do Murowanki od km 0+000 do km 2+327, remont odcinka drogi gminnej Nr 111456R Boratyn - Parcelacja - Dobkowice, od km 0+000 do km 1+722</t>
  </si>
  <si>
    <t>Remont dróg gminnych: drogi nr 108616R Sołonka - Wieś - Baryczka na odcinku od km 0+000 do km 0+999, drogi gminnej nr 108605R Siedliska - Broniakówka na odcinku od km 0+809 do km 2+626</t>
  </si>
  <si>
    <t>Gmina Ustrzyki Dolne</t>
  </si>
  <si>
    <t>bieszczadzki</t>
  </si>
  <si>
    <t>Remont drogi gminnej nr 119233R w km 0+000 do 0+964 km w miejscowości Ustrzyki Dolne ul. Kolejowa</t>
  </si>
  <si>
    <t>211/22</t>
  </si>
  <si>
    <t>Gmina Jedlicze</t>
  </si>
  <si>
    <t>Remont odcinka drogi gminnej G114655R w km od 1+604 do 2+022 i od 2+054 do 2+584 zlokalizowanej w miejscowości Moderówka na dz. o nr ewid. 377, 306, 309</t>
  </si>
  <si>
    <t>175/22</t>
  </si>
  <si>
    <t>Gmina Miasta Sanoka</t>
  </si>
  <si>
    <t>Przebudowa dróg gminnych ul. Witosa (Nr G117008R), ul. Glinice (Nr G117007R) oraz ul. Lisowskiego i ul. Stankiewicza (Nr G117003R) w Sanoku</t>
  </si>
  <si>
    <t>137/22</t>
  </si>
  <si>
    <t>Przebudowa drogi gminnej Nr G 108459R "Kopanina" w km 0+610 - 1+605 wraz z remontem przepustów w m. Szklary oraz przebudowa drogi gminnej Nr G 108454 w km 1+870 - 2+620 wraz z remontem przepustów w m. Hyżne</t>
  </si>
  <si>
    <t>189/22</t>
  </si>
  <si>
    <t>Gmina Krzeszów</t>
  </si>
  <si>
    <t>Remont drogi gminnej Nr 102404R i Nr 102403R od dr. powiatowej Nr 1069R</t>
  </si>
  <si>
    <t>76/22</t>
  </si>
  <si>
    <t>Gmina i Miasto Nisko</t>
  </si>
  <si>
    <t>Rozbudowa drogi gminnej nr 102560R ul. Rzeszowskiej Bocznej II w Nisku wraz z budową oświetlenia drogowego w km od 0+003,20 do km 0+696,00</t>
  </si>
  <si>
    <t>181/22</t>
  </si>
  <si>
    <t>Gmina Lubaczów</t>
  </si>
  <si>
    <t>Budowa drogi dojazdowej i dróg osiedlowych wraz z infrastrukturą (kanalizacja deszczowa, oświetlenie uliczne, kanał technologiczny) w Dąbkowie</t>
  </si>
  <si>
    <t>03.2022 - 10.2023</t>
  </si>
  <si>
    <t>161/22</t>
  </si>
  <si>
    <t>Gmina Baranów Sandomierski</t>
  </si>
  <si>
    <t>Budowa drogi gminnej w miejscowości Skopanie</t>
  </si>
  <si>
    <t>05.2022 - 04.2023</t>
  </si>
  <si>
    <t>112/22</t>
  </si>
  <si>
    <t>Rozbudowa drogi gminnej nr 108564R Malawa przez wieś w miejscowości Malawa w km 0+000 - 0+517,14</t>
  </si>
  <si>
    <t>108/22</t>
  </si>
  <si>
    <t>Rozbudowa drogi gminnej Nr 117639R w km 0+635 do 1+418 na ulicy Dębowej w miejscowości Odrzechowa</t>
  </si>
  <si>
    <t>71/22</t>
  </si>
  <si>
    <t>Budowa drogi gminnej wzdłuż cieku borowina w km od 0+000,00 do 1+993,80 oraz przebudowa odcinka drogi gminnej ul. Dąbrowskiego nr 102602R w km od 0+727,00 do 0+874,00 na osiedlu Podwolina w Nisku</t>
  </si>
  <si>
    <t>03.2022 - 11.2023</t>
  </si>
  <si>
    <t>Gmina Miejska Mielec</t>
  </si>
  <si>
    <t>mielecki</t>
  </si>
  <si>
    <t>Przebudowa drogi gminnej nr 103692R - ul. Szafera w Mielcu w km 0+034,30 - 1+121,06 wraz z budową skrzyżowania typu "małe rondo" na skrzyżowaniu z ulica Raciborskiego</t>
  </si>
  <si>
    <t>162/22</t>
  </si>
  <si>
    <t>Przebudowa drogi gminnej nr 100097R - ul. Zakładowa w miejscowości Knapy wraz ze skrzyżowaniem z drogą powiatową nr 1124R relacji Knapy-Zachwiejów-Zarównie - ul. Kolejowa oraz przejazdem kolejowo-drogowym</t>
  </si>
  <si>
    <t>206/22</t>
  </si>
  <si>
    <t>Przebudowa drogi gminnej Nr 114412R Zręcin - Przylaski, Żeglce - Debrza w km 0+000 do 4+002,72</t>
  </si>
  <si>
    <t>106/22</t>
  </si>
  <si>
    <t>Gmina Miejska Jarosław</t>
  </si>
  <si>
    <t>Przebudowa drogi gminnej klasy Z nr 111318R ul. Przemysłowa w Jarosławiu od km 0+000,00 do km 0+897,00</t>
  </si>
  <si>
    <t>05.2022 - 10.2023</t>
  </si>
  <si>
    <t>90/22</t>
  </si>
  <si>
    <t>Przebudowa drogi gminnej nr 116454R Ostrów (kościół) - Zapora w km 0+044 - 0+910</t>
  </si>
  <si>
    <t>52/22</t>
  </si>
  <si>
    <t>Gmina Przecław</t>
  </si>
  <si>
    <t>Przebudowa drogi gminnej nr 103500R wraz z infrastrukturą techniczną w miejscowości Rzemień w km 0+003,85 do km 0+191,40 oraz km 0+223,00 do km 0+843,00</t>
  </si>
  <si>
    <t>06.2022 - 12.2022</t>
  </si>
  <si>
    <t>213/22</t>
  </si>
  <si>
    <t>Gmina Korczyna</t>
  </si>
  <si>
    <t>Przebudowa drogi gminnej nr 114837R Korczyna - Olszyny - Burkot (ul. Poprzeczna) wraz z budową chodnika w miejscowości Korczyna w km 0+000 -0+759</t>
  </si>
  <si>
    <t>69/22</t>
  </si>
  <si>
    <t>Przebudowa drogi gminnej nr 102103R w miejscowości Maziarnia od km 0+000 do km 0+700</t>
  </si>
  <si>
    <t>193/22</t>
  </si>
  <si>
    <t>Gmina Brzozów</t>
  </si>
  <si>
    <t>Przebudowa drogi gminnej Nr 115515R ul. Bielawskiego w Brzozowie w kilometrażu 0+000 - 0+531</t>
  </si>
  <si>
    <t>152/22</t>
  </si>
  <si>
    <t>Gmina Tarnowiec</t>
  </si>
  <si>
    <t>Przebudowa drogi wewnętrznej dz. nr ewid. 139/2 w m. Tarnowiec wraz z wykonaniem kanalizacji deszczowej i oświetlenia drogi</t>
  </si>
  <si>
    <t>09.2022 - 08.2023</t>
  </si>
  <si>
    <t>Gmina Mielec</t>
  </si>
  <si>
    <t>Przebudowa drogi gminnej publicznej nr 103405R Trześń - Wola Chorzelowska - Szydłowiec w km 0+000 - 0+264,30 w miejscowości Trześń</t>
  </si>
  <si>
    <t>129/22</t>
  </si>
  <si>
    <t>Gmina Borowa</t>
  </si>
  <si>
    <t>Poprawa dostępności komunikacyjnej i bezpieczeństwa ruchu poprzez przebudowę drogi gminnej nr 103263R Gliny Wielkie - Majdan w km 0+005-0+360 w miejscowości Gliny Wielkie oraz dróg wewnętrznych Gliny Wielkie - Brnik dz. nr ewid. 378 w km 0+000 - 570 w miejscowości Gliny Wielkie i Masarnia - Cegielnia w km 0+000 - 1+812 dz. nr ewid. 393/2, 204, 205, 281/2 w m. Górki</t>
  </si>
  <si>
    <t>198/22</t>
  </si>
  <si>
    <t>Gmina Jodłowa</t>
  </si>
  <si>
    <t>Przebudowa drogi gminnej nr 106516R w km 0+650 - 1+635 w m. Jodłowa</t>
  </si>
  <si>
    <t>05.2022 -10.2022</t>
  </si>
  <si>
    <t>56/22</t>
  </si>
  <si>
    <t>Przebudowa drogi gminnej nr 119247R w km 0+000 do 0+943 km w miejscowości Ustrzyki Dolne ul. Bieszczadzka</t>
  </si>
  <si>
    <t>88/22</t>
  </si>
  <si>
    <t>Przebudowa drogi gminnej nr 117371R w miejscowości Zabłotce w km 0+000,00 - 0+584,10 na terenie Gminy Sanok</t>
  </si>
  <si>
    <t>185/22</t>
  </si>
  <si>
    <t>Gmina Solina</t>
  </si>
  <si>
    <t>leski</t>
  </si>
  <si>
    <t>Przebudowa dróg wewnętrznych przy ulicy Kościelnej i Spokojnej w miejscowości Wołkowyja</t>
  </si>
  <si>
    <t>04.2022 - 07.2022</t>
  </si>
  <si>
    <t>160/22</t>
  </si>
  <si>
    <t>Remont drogi gminnej nr 108505R Krzywa Wieś - Podlesie - Cholewiana Góra od km 0+000 do km 3+740, ul. Wspólna w miejscowości Kamień</t>
  </si>
  <si>
    <t>74/22</t>
  </si>
  <si>
    <t>Gmina Osiek Jasielski</t>
  </si>
  <si>
    <t>Remont drogi gminnej Nr 113577R, dz. ewid. 1779 w km 0+000-0+301 oraz dz. nr ewid. 1780 w km 0+310-1+697 w miejscowości Pielgrzymka</t>
  </si>
  <si>
    <t>08.2022 - 08.2022</t>
  </si>
  <si>
    <t>186/22</t>
  </si>
  <si>
    <t>Remont dróg gminnych publicznych nr 118435R i 118436R w m. Wołkowyja</t>
  </si>
  <si>
    <t>102/22</t>
  </si>
  <si>
    <t>Remont drogi gminnej Nr G110760R Sietesz Cegielnia - Szkoła Podstawowa w km 1+180 - 1+874 (dł 694) zlokalizowanej na działce nr ewid.1860 w Sieteszy obręb 0012</t>
  </si>
  <si>
    <t>04.2022 -10.2022</t>
  </si>
  <si>
    <t>Gmina Lesko</t>
  </si>
  <si>
    <t>Remont ul. Grunwaldzkiej (118181R) w km 0+000 - 0+162 i placu Konstytucji 3 Maja (118216R) w km 0+000 - 0+062 w Lesku</t>
  </si>
  <si>
    <t>167/22</t>
  </si>
  <si>
    <t>Gmina Niebylec</t>
  </si>
  <si>
    <t>strzyżowski</t>
  </si>
  <si>
    <t>Remont drogi gminnej Nr 1 12221R Konieczkowa - Kąty w km 0+000 - 0+422 i w km 1+795 - 2+365 w miejscowościach Konieczkowa i Lutcza, drogi gminnej Nr 1 12227R Lutcza - Szopówka w km 0+000 - 560 w miejscowości Lutcza oraz drogi gminnej Nr 1 12206R Baryczka - Zalesie w km 0+000 - 0+908 w miejscowości Baryczka</t>
  </si>
  <si>
    <t>144/22</t>
  </si>
  <si>
    <t>Rozbudowa drogi gminnej nr 106109R w m. Brzostek w km 0+000-0+482; Budowa drogi gminnej 2KDD w m. Brzostek i cz. m. Zawadka Brzostecka; Budowa drogi gminnej 10KDD i 11KDD w m. Brzostek</t>
  </si>
  <si>
    <t>07.2022 - 08.2025</t>
  </si>
  <si>
    <t>131/22</t>
  </si>
  <si>
    <t>1. Przebudowa drogi gminnej nr 116125R w Fredropolu w km 0+000 - 0+995. 2. Przebudowa drogi gminnej (BN) na dz. nr 390/1 w Fredropolu w km 0+000 - 0+260. 3. Przebudowa drogi gminnej (BN) na dz. nr 406 w Fredropolu w km 0+000 - 0+156</t>
  </si>
  <si>
    <t>195/22</t>
  </si>
  <si>
    <t>Gmina Jarocin</t>
  </si>
  <si>
    <t>Budowa drogi gminnej w miejscowości Domostwa gm. Jarocin w km 0+000 do km 1+173,07 wraz z rozbudową drogi gminnej nr 102222R Jarocin - Stadion</t>
  </si>
  <si>
    <t>06.2022 - 09.2022</t>
  </si>
  <si>
    <t>153/22</t>
  </si>
  <si>
    <t>leżajski</t>
  </si>
  <si>
    <t>Przebudowa drogi gminnej "za cmentarzem" na dz. nr ewid. 284 w km 0+000 - 0+295 i na dz. ewid. 300 w km 0+000 - 0+205 w miejscowości Ruda Łańcucka oraz przebudowa i rozbudowa drogi gminnej nr 104701R Majdan Łętowski "Kuligi" na odcinku od km 0+003,2 do km 1+748,00 wraz z niezbędną infrastrukturą oraz przebudową sieci w miejscowości Łętownia</t>
  </si>
  <si>
    <t>187/22</t>
  </si>
  <si>
    <t>Gmina Zaklików</t>
  </si>
  <si>
    <t>Przebudowa ciągu drogowego dróg gminnych: 101406R Zaklików - Antoniówka w km 0+963 do km 1+820 w miejscowościach Zaklików, Antoniówka (obręb Zdziechowice Drugie) i drogi nr 101411R Łysaków - wieś w km 0+10 do km 0+402 i od km 0+602 do km 0+810 w miejscowości Łysaków</t>
  </si>
  <si>
    <t>204/22</t>
  </si>
  <si>
    <t>Gmina Dukla</t>
  </si>
  <si>
    <t>Remont dróg gminnych: Droga nr 114549R w Jasionce, klasa techniczna drogi "D" w kilometrażu 0+000 - 0+230 Droga Nr 114506R w Wietrzne, klasa techniczna drogi "D" w kilometrażu 0+090 - 0+509</t>
  </si>
  <si>
    <t>128/22</t>
  </si>
  <si>
    <t>Miasto Tarnobrzeg</t>
  </si>
  <si>
    <t>m. Tarnobrzeg</t>
  </si>
  <si>
    <t>Budowa dróg gminnych - ulicy Chemicznej (G122187), Siarkopolowej (G122186) oraz Mechanicznej (TB1T/00064058) na terenie Tarnobrzeskiej Specjalnej Strefy Ekonomicznej w Tarnobrzegu</t>
  </si>
  <si>
    <t>04.2022 - 04.2025</t>
  </si>
  <si>
    <t>165/22</t>
  </si>
  <si>
    <t>Rozbudowa drogi gminnej nr 119502R ul. Sportowej oraz drogi gminnej nr 119634R ul. Malinowa Góra w Krośnie</t>
  </si>
  <si>
    <t>32/22</t>
  </si>
  <si>
    <t>Rozbudowa drogi gminnej 100346R ul. Ogrodowa w Nowej Dębie w km 0+000,0 do 0+773,4</t>
  </si>
  <si>
    <t>115/22</t>
  </si>
  <si>
    <t>Budowa dróg gminnych publicznych Rogóżno - Gać w km 0+000 - 1+085 oraz Kosina - Markowa w km 0+000 - 1+600 w miejscowościach Kosina i Rogóżno</t>
  </si>
  <si>
    <t>103/22</t>
  </si>
  <si>
    <t>Budowa - rozbudowa drogi gminnej publicznej nr G110750R Łopuszka Wielka - Zagórze i budowa nowego odcinka drogi na działkach nr ewid. 684, 685, 688 w miejscowości Łopuszka Wielka w gminie Kańczuga wraz z budową i przebudową infrastruktury technicznej</t>
  </si>
  <si>
    <t>70/22</t>
  </si>
  <si>
    <t>Gmina Białobrzegi</t>
  </si>
  <si>
    <t>Budowa dróg w miejscowości Dębina tj. budowa drogi gminnej - km 0+00 - 0+414,80 oraz budowa drogi wewnętrznej 2 KDW - km 0,00 - 0+527,60</t>
  </si>
  <si>
    <t>201/22</t>
  </si>
  <si>
    <t>Gmina Tuszów Narodowy</t>
  </si>
  <si>
    <t>Poprawa infrastruktury drogowej w tym bezpieczeństwa komunikacji transportowej poprzez przebudowę obiektów mostowych w ciągu dróg gminnych w Plutach i Józefowie oraz dróg dojazdowych</t>
  </si>
  <si>
    <t>24*</t>
  </si>
  <si>
    <t>25*</t>
  </si>
  <si>
    <t>9/21</t>
  </si>
  <si>
    <t>Gmina Radomomyśl nad Sanem</t>
  </si>
  <si>
    <t>Przebudowa dróg na terenie gminy Radomyśl nad Sanem: 1. Przebudowa drogi wewnętrznej na działakch nr ewid. 1/15, 370/5 obręb Wola Rzeczycka w km 0+009-0+602. 2. Przebudowa drogi wewnętrznej na działce nr ewid. 125/16 obręb Dąbrowa Rzeczycka w km 0+010-0+738.</t>
  </si>
  <si>
    <t>02.2022-10.2022</t>
  </si>
  <si>
    <t>Rozbudowa drogi powiatowej nr 2502 -ul.Dąbrowskiego w Stalowej Woli etap 2 od km 0+492,32 do km 0+888,88 i Przebudowa drogi powiatowej nr 2601R ul. Komisji Edukacji Nardowej w Stalowej Woli na odcinku od km 0+051,90 do km 0+263,70</t>
  </si>
  <si>
    <t>05.2022-12.2023</t>
  </si>
  <si>
    <t>14*</t>
  </si>
  <si>
    <t>Gmina Pysznica</t>
  </si>
  <si>
    <t>Gmina Zaleszany</t>
  </si>
  <si>
    <t>Przebudowa drogi gminnej 101519R na działkach nr ewid. 1776/4 i 727/10 od km 1+125 do km 1+725 w miejscowości Kępie Zaleszańskie</t>
  </si>
  <si>
    <t>Gmina Iwierzyce</t>
  </si>
  <si>
    <t>Przebudowa drogi Gminnej Nockowa Będzienica nr 107431R w m. Będzienica w km 0+990 - 1+486,95</t>
  </si>
  <si>
    <t>Gmina Kolbuszowa</t>
  </si>
  <si>
    <t>kolbuszowski</t>
  </si>
  <si>
    <t>Gmina Ulanów</t>
  </si>
  <si>
    <t>Gmina Jeżowe</t>
  </si>
  <si>
    <t>Przebudowa drogi gminnej 101238R w Pysznicy od km 0+000 do km 0+670 i przebudowa drogi wewnętrznej w Pysznicy: dz. nr ewid. 1200, 1201/1, 1201/12, 1201/11, 1271 od km 0+000 do km 0+596 i od km 0+000 do km 0+209 oraz przebudowa drogi wewnętrznej w Pysznicy: dzi. nr ewid. 3287, 3286, 3208, 3207/1, 3285 od km 0+000 do km 0+681</t>
  </si>
  <si>
    <t>05.2022 -08.2022</t>
  </si>
  <si>
    <t xml:space="preserve"> 1812022</t>
  </si>
  <si>
    <t>Przebudowa, rozbudowa i budowa drogi gminnej Golce-Rusiny wraz z Rozbudową drogi gminnej nr 102212 R Zdziary -Szyperki</t>
  </si>
  <si>
    <t>06.2022-09.2022</t>
  </si>
  <si>
    <t>Gmina Rudnik nad Sanem</t>
  </si>
  <si>
    <t>niżańcki</t>
  </si>
  <si>
    <t>Przebudowa drogi gminnej "Poddaństwo" Nr 102301R od km 0+000 do km 0+999 w miejscowości Jeżowe-Gmina Jeżowe</t>
  </si>
  <si>
    <t>nizański</t>
  </si>
  <si>
    <t>Przebudowa drogi gminnej na działce nr ewid. 687/2 i 630 w miejscowości Obojna od km 0+000 do km 0+606</t>
  </si>
  <si>
    <t>Remont drogi gminnej Nr 102816R Podosiczyna-Podbuk, w km 00+000 do 1+724, remont drogi gminnej nr 102815R w miejscowości Dąbrówka w km 0+000 do 1+780</t>
  </si>
  <si>
    <t xml:space="preserve">Przebudowa dróg gminnych: Nr 102765R w km 0+007,3 - 0+118,8 ul. Zwycięstwa; Nr 102764R w km 0+006,9 - 0+226,8 ul. Tysiąclecia; Nr 102766R 0+033,88 - 0+216,5 ul. Dr. Kazimierza Henricha w Rudniku Nad Sanem </t>
  </si>
  <si>
    <t>Przebudowa drogi gminnej nr 103953R Świerczów przez wieś w km 0+030 do km 0+785 oraz 1+260 do 1+500 w miejscowości Świrczów i Kolbuszowa Dolna; Przebudowa drogi gminnej nr 103952R Nowa Wieś - Borek w km 2+086 - 2+770 w miejscowości Nowa Wieś; Przebudowa Drogi gminnej nr 104032R ulicy Kasztanowej w Kolbuszowej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</si>
  <si>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na 2022</t>
    </r>
  </si>
  <si>
    <t>29</t>
  </si>
  <si>
    <t>33*</t>
  </si>
  <si>
    <t>75*</t>
  </si>
  <si>
    <t>19*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</si>
</sst>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.00\ &quot;zł&quot;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00"/>
    <numFmt numFmtId="174" formatCode="0.000000"/>
    <numFmt numFmtId="175" formatCode="0.000"/>
    <numFmt numFmtId="176" formatCode="0.0"/>
    <numFmt numFmtId="177" formatCode="#,##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sz val="9"/>
      <color indexed="10"/>
      <name val="Arial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9"/>
      <color indexed="53"/>
      <name val="Arial"/>
      <family val="2"/>
    </font>
    <font>
      <sz val="11"/>
      <color indexed="53"/>
      <name val="Calibri"/>
      <family val="2"/>
    </font>
    <font>
      <sz val="9"/>
      <name val="Calibri"/>
      <family val="2"/>
    </font>
    <font>
      <sz val="10"/>
      <color indexed="53"/>
      <name val="Arial"/>
      <family val="2"/>
    </font>
    <font>
      <b/>
      <sz val="16"/>
      <color indexed="53"/>
      <name val="Calibri"/>
      <family val="2"/>
    </font>
    <font>
      <sz val="8"/>
      <color indexed="53"/>
      <name val="Arial"/>
      <family val="2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theme="9"/>
      <name val="Times New Roman"/>
      <family val="1"/>
    </font>
    <font>
      <sz val="9"/>
      <color rgb="FFFF0000"/>
      <name val="Arial"/>
      <family val="2"/>
    </font>
    <font>
      <b/>
      <sz val="16"/>
      <color rgb="FFFF0000"/>
      <name val="Calibri"/>
      <family val="2"/>
    </font>
    <font>
      <sz val="9"/>
      <color theme="5" tint="-0.24997000396251678"/>
      <name val="Arial"/>
      <family val="2"/>
    </font>
    <font>
      <sz val="11"/>
      <color theme="5" tint="-0.24997000396251678"/>
      <name val="Calibri"/>
      <family val="2"/>
    </font>
    <font>
      <sz val="10"/>
      <color theme="5"/>
      <name val="Arial"/>
      <family val="2"/>
    </font>
    <font>
      <b/>
      <sz val="16"/>
      <color theme="5" tint="-0.24997000396251678"/>
      <name val="Calibri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5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4" fontId="6" fillId="0" borderId="0" xfId="0" applyNumberFormat="1" applyFont="1" applyFill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55" applyFont="1" applyFill="1" applyAlignment="1">
      <alignment vertical="center"/>
      <protection/>
    </xf>
    <xf numFmtId="0" fontId="77" fillId="0" borderId="0" xfId="55" applyFont="1" applyFill="1" applyAlignment="1">
      <alignment vertical="center"/>
      <protection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Fill="1" applyAlignment="1">
      <alignment vertical="center"/>
    </xf>
    <xf numFmtId="4" fontId="37" fillId="0" borderId="0" xfId="0" applyNumberFormat="1" applyFont="1" applyFill="1" applyAlignment="1">
      <alignment vertical="center"/>
    </xf>
    <xf numFmtId="167" fontId="8" fillId="33" borderId="11" xfId="0" applyNumberFormat="1" applyFont="1" applyFill="1" applyBorder="1" applyAlignment="1">
      <alignment vertical="center"/>
    </xf>
    <xf numFmtId="167" fontId="78" fillId="33" borderId="11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4" fontId="79" fillId="0" borderId="12" xfId="0" applyNumberFormat="1" applyFont="1" applyFill="1" applyBorder="1" applyAlignment="1">
      <alignment horizontal="right" vertical="center" wrapText="1"/>
    </xf>
    <xf numFmtId="4" fontId="80" fillId="0" borderId="12" xfId="0" applyNumberFormat="1" applyFont="1" applyFill="1" applyBorder="1" applyAlignment="1">
      <alignment horizontal="right" vertical="center" wrapText="1"/>
    </xf>
    <xf numFmtId="167" fontId="78" fillId="2" borderId="12" xfId="0" applyNumberFormat="1" applyFont="1" applyFill="1" applyBorder="1" applyAlignment="1">
      <alignment vertical="center"/>
    </xf>
    <xf numFmtId="167" fontId="8" fillId="34" borderId="12" xfId="0" applyNumberFormat="1" applyFont="1" applyFill="1" applyBorder="1" applyAlignment="1">
      <alignment vertical="center"/>
    </xf>
    <xf numFmtId="167" fontId="81" fillId="14" borderId="12" xfId="0" applyNumberFormat="1" applyFont="1" applyFill="1" applyBorder="1" applyAlignment="1">
      <alignment vertical="center"/>
    </xf>
    <xf numFmtId="167" fontId="8" fillId="2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0" fillId="0" borderId="14" xfId="0" applyFont="1" applyBorder="1" applyAlignment="1">
      <alignment vertical="center"/>
    </xf>
    <xf numFmtId="167" fontId="8" fillId="34" borderId="15" xfId="0" applyNumberFormat="1" applyFont="1" applyFill="1" applyBorder="1" applyAlignment="1">
      <alignment vertical="center"/>
    </xf>
    <xf numFmtId="0" fontId="78" fillId="2" borderId="16" xfId="0" applyNumberFormat="1" applyFont="1" applyFill="1" applyBorder="1" applyAlignment="1">
      <alignment vertical="center"/>
    </xf>
    <xf numFmtId="0" fontId="8" fillId="2" borderId="16" xfId="0" applyNumberFormat="1" applyFont="1" applyFill="1" applyBorder="1" applyAlignment="1">
      <alignment vertical="center"/>
    </xf>
    <xf numFmtId="0" fontId="8" fillId="34" borderId="16" xfId="0" applyNumberFormat="1" applyFont="1" applyFill="1" applyBorder="1" applyAlignment="1">
      <alignment vertical="center"/>
    </xf>
    <xf numFmtId="0" fontId="81" fillId="14" borderId="16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 indent="2"/>
    </xf>
    <xf numFmtId="167" fontId="78" fillId="2" borderId="17" xfId="0" applyNumberFormat="1" applyFont="1" applyFill="1" applyBorder="1" applyAlignment="1">
      <alignment vertical="center"/>
    </xf>
    <xf numFmtId="167" fontId="8" fillId="2" borderId="17" xfId="0" applyNumberFormat="1" applyFont="1" applyFill="1" applyBorder="1" applyAlignment="1">
      <alignment vertical="center"/>
    </xf>
    <xf numFmtId="167" fontId="8" fillId="34" borderId="17" xfId="0" applyNumberFormat="1" applyFont="1" applyFill="1" applyBorder="1" applyAlignment="1">
      <alignment vertical="center"/>
    </xf>
    <xf numFmtId="167" fontId="81" fillId="14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67" fontId="78" fillId="2" borderId="16" xfId="0" applyNumberFormat="1" applyFont="1" applyFill="1" applyBorder="1" applyAlignment="1">
      <alignment vertical="center"/>
    </xf>
    <xf numFmtId="167" fontId="8" fillId="2" borderId="16" xfId="0" applyNumberFormat="1" applyFont="1" applyFill="1" applyBorder="1" applyAlignment="1">
      <alignment vertical="center"/>
    </xf>
    <xf numFmtId="167" fontId="8" fillId="34" borderId="16" xfId="0" applyNumberFormat="1" applyFont="1" applyFill="1" applyBorder="1" applyAlignment="1">
      <alignment vertical="center"/>
    </xf>
    <xf numFmtId="167" fontId="81" fillId="14" borderId="16" xfId="0" applyNumberFormat="1" applyFont="1" applyFill="1" applyBorder="1" applyAlignment="1">
      <alignment vertical="center"/>
    </xf>
    <xf numFmtId="167" fontId="81" fillId="33" borderId="11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7" fontId="8" fillId="33" borderId="2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NumberFormat="1" applyFont="1" applyFill="1" applyBorder="1" applyAlignment="1">
      <alignment vertical="center"/>
    </xf>
    <xf numFmtId="167" fontId="8" fillId="0" borderId="25" xfId="0" applyNumberFormat="1" applyFont="1" applyFill="1" applyBorder="1" applyAlignment="1">
      <alignment vertical="center"/>
    </xf>
    <xf numFmtId="167" fontId="8" fillId="0" borderId="26" xfId="0" applyNumberFormat="1" applyFont="1" applyFill="1" applyBorder="1" applyAlignment="1">
      <alignment vertical="center"/>
    </xf>
    <xf numFmtId="167" fontId="8" fillId="33" borderId="27" xfId="0" applyNumberFormat="1" applyFont="1" applyFill="1" applyBorder="1" applyAlignment="1">
      <alignment vertical="center"/>
    </xf>
    <xf numFmtId="167" fontId="8" fillId="0" borderId="24" xfId="0" applyNumberFormat="1" applyFont="1" applyFill="1" applyBorder="1" applyAlignment="1">
      <alignment vertical="center"/>
    </xf>
    <xf numFmtId="167" fontId="8" fillId="0" borderId="28" xfId="0" applyNumberFormat="1" applyFont="1" applyFill="1" applyBorder="1" applyAlignment="1">
      <alignment vertical="center"/>
    </xf>
    <xf numFmtId="0" fontId="78" fillId="0" borderId="29" xfId="0" applyFont="1" applyFill="1" applyBorder="1" applyAlignment="1">
      <alignment horizontal="left" vertical="center" wrapText="1" indent="2"/>
    </xf>
    <xf numFmtId="0" fontId="8" fillId="0" borderId="29" xfId="0" applyFont="1" applyFill="1" applyBorder="1" applyAlignment="1">
      <alignment horizontal="left" vertical="center" indent="2"/>
    </xf>
    <xf numFmtId="0" fontId="78" fillId="0" borderId="30" xfId="0" applyFont="1" applyFill="1" applyBorder="1" applyAlignment="1">
      <alignment horizontal="left" vertical="center" indent="2"/>
    </xf>
    <xf numFmtId="167" fontId="78" fillId="33" borderId="31" xfId="0" applyNumberFormat="1" applyFont="1" applyFill="1" applyBorder="1" applyAlignment="1">
      <alignment vertical="center"/>
    </xf>
    <xf numFmtId="0" fontId="82" fillId="2" borderId="23" xfId="0" applyFont="1" applyFill="1" applyBorder="1" applyAlignment="1">
      <alignment vertical="center"/>
    </xf>
    <xf numFmtId="0" fontId="82" fillId="2" borderId="24" xfId="0" applyNumberFormat="1" applyFont="1" applyFill="1" applyBorder="1" applyAlignment="1">
      <alignment vertical="center"/>
    </xf>
    <xf numFmtId="167" fontId="82" fillId="2" borderId="25" xfId="0" applyNumberFormat="1" applyFont="1" applyFill="1" applyBorder="1" applyAlignment="1">
      <alignment vertical="center"/>
    </xf>
    <xf numFmtId="167" fontId="82" fillId="2" borderId="26" xfId="0" applyNumberFormat="1" applyFont="1" applyFill="1" applyBorder="1" applyAlignment="1">
      <alignment vertical="center"/>
    </xf>
    <xf numFmtId="167" fontId="82" fillId="33" borderId="27" xfId="0" applyNumberFormat="1" applyFont="1" applyFill="1" applyBorder="1" applyAlignment="1">
      <alignment vertical="center"/>
    </xf>
    <xf numFmtId="167" fontId="82" fillId="2" borderId="24" xfId="0" applyNumberFormat="1" applyFont="1" applyFill="1" applyBorder="1" applyAlignment="1">
      <alignment vertical="center"/>
    </xf>
    <xf numFmtId="167" fontId="82" fillId="2" borderId="28" xfId="0" applyNumberFormat="1" applyFont="1" applyFill="1" applyBorder="1" applyAlignment="1">
      <alignment vertical="center"/>
    </xf>
    <xf numFmtId="0" fontId="78" fillId="2" borderId="29" xfId="0" applyFont="1" applyFill="1" applyBorder="1" applyAlignment="1">
      <alignment horizontal="left" vertical="center" wrapText="1" indent="2"/>
    </xf>
    <xf numFmtId="167" fontId="78" fillId="2" borderId="32" xfId="0" applyNumberFormat="1" applyFont="1" applyFill="1" applyBorder="1" applyAlignment="1">
      <alignment vertical="center"/>
    </xf>
    <xf numFmtId="0" fontId="8" fillId="2" borderId="29" xfId="0" applyFont="1" applyFill="1" applyBorder="1" applyAlignment="1">
      <alignment horizontal="left" vertical="center" indent="2"/>
    </xf>
    <xf numFmtId="167" fontId="8" fillId="2" borderId="32" xfId="0" applyNumberFormat="1" applyFont="1" applyFill="1" applyBorder="1" applyAlignment="1">
      <alignment vertical="center"/>
    </xf>
    <xf numFmtId="0" fontId="78" fillId="2" borderId="30" xfId="0" applyFont="1" applyFill="1" applyBorder="1" applyAlignment="1">
      <alignment horizontal="left" vertical="center" indent="2"/>
    </xf>
    <xf numFmtId="0" fontId="78" fillId="2" borderId="33" xfId="0" applyNumberFormat="1" applyFont="1" applyFill="1" applyBorder="1" applyAlignment="1">
      <alignment vertical="center"/>
    </xf>
    <xf numFmtId="167" fontId="78" fillId="2" borderId="34" xfId="0" applyNumberFormat="1" applyFont="1" applyFill="1" applyBorder="1" applyAlignment="1">
      <alignment vertical="center"/>
    </xf>
    <xf numFmtId="167" fontId="78" fillId="2" borderId="35" xfId="0" applyNumberFormat="1" applyFont="1" applyFill="1" applyBorder="1" applyAlignment="1">
      <alignment vertical="center"/>
    </xf>
    <xf numFmtId="167" fontId="78" fillId="2" borderId="33" xfId="0" applyNumberFormat="1" applyFont="1" applyFill="1" applyBorder="1" applyAlignment="1">
      <alignment vertical="center"/>
    </xf>
    <xf numFmtId="167" fontId="78" fillId="2" borderId="36" xfId="0" applyNumberFormat="1" applyFont="1" applyFill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0" fontId="8" fillId="34" borderId="37" xfId="0" applyNumberFormat="1" applyFont="1" applyFill="1" applyBorder="1" applyAlignment="1">
      <alignment vertical="center"/>
    </xf>
    <xf numFmtId="167" fontId="8" fillId="34" borderId="38" xfId="0" applyNumberFormat="1" applyFont="1" applyFill="1" applyBorder="1" applyAlignment="1">
      <alignment vertical="center"/>
    </xf>
    <xf numFmtId="167" fontId="8" fillId="34" borderId="39" xfId="0" applyNumberFormat="1" applyFont="1" applyFill="1" applyBorder="1" applyAlignment="1">
      <alignment vertical="center"/>
    </xf>
    <xf numFmtId="167" fontId="8" fillId="34" borderId="37" xfId="0" applyNumberFormat="1" applyFont="1" applyFill="1" applyBorder="1" applyAlignment="1">
      <alignment vertical="center"/>
    </xf>
    <xf numFmtId="167" fontId="8" fillId="34" borderId="40" xfId="0" applyNumberFormat="1" applyFont="1" applyFill="1" applyBorder="1" applyAlignment="1">
      <alignment vertical="center"/>
    </xf>
    <xf numFmtId="0" fontId="78" fillId="34" borderId="41" xfId="0" applyFont="1" applyFill="1" applyBorder="1" applyAlignment="1">
      <alignment horizontal="left" vertical="center" indent="2"/>
    </xf>
    <xf numFmtId="0" fontId="78" fillId="34" borderId="19" xfId="0" applyNumberFormat="1" applyFont="1" applyFill="1" applyBorder="1" applyAlignment="1">
      <alignment vertical="center"/>
    </xf>
    <xf numFmtId="167" fontId="78" fillId="34" borderId="20" xfId="0" applyNumberFormat="1" applyFont="1" applyFill="1" applyBorder="1" applyAlignment="1">
      <alignment vertical="center"/>
    </xf>
    <xf numFmtId="167" fontId="78" fillId="34" borderId="42" xfId="0" applyNumberFormat="1" applyFont="1" applyFill="1" applyBorder="1" applyAlignment="1">
      <alignment vertical="center"/>
    </xf>
    <xf numFmtId="167" fontId="78" fillId="33" borderId="41" xfId="0" applyNumberFormat="1" applyFont="1" applyFill="1" applyBorder="1" applyAlignment="1">
      <alignment vertical="center"/>
    </xf>
    <xf numFmtId="167" fontId="78" fillId="34" borderId="19" xfId="0" applyNumberFormat="1" applyFont="1" applyFill="1" applyBorder="1" applyAlignment="1">
      <alignment vertical="center"/>
    </xf>
    <xf numFmtId="167" fontId="78" fillId="34" borderId="21" xfId="0" applyNumberFormat="1" applyFont="1" applyFill="1" applyBorder="1" applyAlignment="1">
      <alignment vertical="center"/>
    </xf>
    <xf numFmtId="0" fontId="8" fillId="14" borderId="23" xfId="0" applyFont="1" applyFill="1" applyBorder="1" applyAlignment="1">
      <alignment vertical="center"/>
    </xf>
    <xf numFmtId="0" fontId="81" fillId="14" borderId="24" xfId="0" applyNumberFormat="1" applyFont="1" applyFill="1" applyBorder="1" applyAlignment="1">
      <alignment vertical="center"/>
    </xf>
    <xf numFmtId="167" fontId="81" fillId="14" borderId="25" xfId="0" applyNumberFormat="1" applyFont="1" applyFill="1" applyBorder="1" applyAlignment="1">
      <alignment vertical="center"/>
    </xf>
    <xf numFmtId="167" fontId="81" fillId="14" borderId="26" xfId="0" applyNumberFormat="1" applyFont="1" applyFill="1" applyBorder="1" applyAlignment="1">
      <alignment vertical="center"/>
    </xf>
    <xf numFmtId="167" fontId="81" fillId="33" borderId="27" xfId="0" applyNumberFormat="1" applyFont="1" applyFill="1" applyBorder="1" applyAlignment="1">
      <alignment vertical="center"/>
    </xf>
    <xf numFmtId="167" fontId="81" fillId="14" borderId="24" xfId="0" applyNumberFormat="1" applyFont="1" applyFill="1" applyBorder="1" applyAlignment="1">
      <alignment vertical="center"/>
    </xf>
    <xf numFmtId="167" fontId="81" fillId="14" borderId="28" xfId="0" applyNumberFormat="1" applyFont="1" applyFill="1" applyBorder="1" applyAlignment="1">
      <alignment vertical="center"/>
    </xf>
    <xf numFmtId="0" fontId="8" fillId="14" borderId="29" xfId="0" applyFont="1" applyFill="1" applyBorder="1" applyAlignment="1">
      <alignment horizontal="left" vertical="center" indent="2"/>
    </xf>
    <xf numFmtId="167" fontId="81" fillId="14" borderId="32" xfId="0" applyNumberFormat="1" applyFont="1" applyFill="1" applyBorder="1" applyAlignment="1">
      <alignment vertical="center"/>
    </xf>
    <xf numFmtId="0" fontId="78" fillId="14" borderId="30" xfId="0" applyFont="1" applyFill="1" applyBorder="1" applyAlignment="1">
      <alignment horizontal="left" vertical="center" indent="2"/>
    </xf>
    <xf numFmtId="0" fontId="78" fillId="14" borderId="33" xfId="0" applyNumberFormat="1" applyFont="1" applyFill="1" applyBorder="1" applyAlignment="1">
      <alignment vertical="center"/>
    </xf>
    <xf numFmtId="167" fontId="78" fillId="14" borderId="34" xfId="0" applyNumberFormat="1" applyFont="1" applyFill="1" applyBorder="1" applyAlignment="1">
      <alignment vertical="center"/>
    </xf>
    <xf numFmtId="167" fontId="78" fillId="14" borderId="35" xfId="0" applyNumberFormat="1" applyFont="1" applyFill="1" applyBorder="1" applyAlignment="1">
      <alignment vertical="center"/>
    </xf>
    <xf numFmtId="167" fontId="78" fillId="14" borderId="33" xfId="0" applyNumberFormat="1" applyFont="1" applyFill="1" applyBorder="1" applyAlignment="1">
      <alignment vertical="center"/>
    </xf>
    <xf numFmtId="167" fontId="78" fillId="14" borderId="36" xfId="0" applyNumberFormat="1" applyFont="1" applyFill="1" applyBorder="1" applyAlignment="1">
      <alignment vertical="center"/>
    </xf>
    <xf numFmtId="0" fontId="78" fillId="35" borderId="16" xfId="0" applyNumberFormat="1" applyFont="1" applyFill="1" applyBorder="1" applyAlignment="1">
      <alignment vertical="center"/>
    </xf>
    <xf numFmtId="167" fontId="78" fillId="35" borderId="12" xfId="0" applyNumberFormat="1" applyFont="1" applyFill="1" applyBorder="1" applyAlignment="1">
      <alignment vertical="center"/>
    </xf>
    <xf numFmtId="167" fontId="78" fillId="35" borderId="17" xfId="0" applyNumberFormat="1" applyFont="1" applyFill="1" applyBorder="1" applyAlignment="1">
      <alignment vertical="center"/>
    </xf>
    <xf numFmtId="0" fontId="8" fillId="35" borderId="16" xfId="0" applyNumberFormat="1" applyFont="1" applyFill="1" applyBorder="1" applyAlignment="1">
      <alignment vertical="center"/>
    </xf>
    <xf numFmtId="167" fontId="8" fillId="35" borderId="12" xfId="0" applyNumberFormat="1" applyFont="1" applyFill="1" applyBorder="1" applyAlignment="1">
      <alignment vertical="center"/>
    </xf>
    <xf numFmtId="167" fontId="8" fillId="35" borderId="17" xfId="0" applyNumberFormat="1" applyFont="1" applyFill="1" applyBorder="1" applyAlignment="1">
      <alignment vertical="center"/>
    </xf>
    <xf numFmtId="0" fontId="78" fillId="35" borderId="33" xfId="0" applyNumberFormat="1" applyFont="1" applyFill="1" applyBorder="1" applyAlignment="1">
      <alignment vertical="center"/>
    </xf>
    <xf numFmtId="167" fontId="78" fillId="35" borderId="34" xfId="0" applyNumberFormat="1" applyFont="1" applyFill="1" applyBorder="1" applyAlignment="1">
      <alignment vertical="center"/>
    </xf>
    <xf numFmtId="167" fontId="78" fillId="35" borderId="35" xfId="0" applyNumberFormat="1" applyFont="1" applyFill="1" applyBorder="1" applyAlignment="1">
      <alignment vertical="center"/>
    </xf>
    <xf numFmtId="167" fontId="78" fillId="35" borderId="16" xfId="0" applyNumberFormat="1" applyFont="1" applyFill="1" applyBorder="1" applyAlignment="1">
      <alignment vertical="center"/>
    </xf>
    <xf numFmtId="167" fontId="78" fillId="35" borderId="32" xfId="0" applyNumberFormat="1" applyFont="1" applyFill="1" applyBorder="1" applyAlignment="1">
      <alignment vertical="center"/>
    </xf>
    <xf numFmtId="167" fontId="8" fillId="35" borderId="16" xfId="0" applyNumberFormat="1" applyFont="1" applyFill="1" applyBorder="1" applyAlignment="1">
      <alignment vertical="center"/>
    </xf>
    <xf numFmtId="167" fontId="8" fillId="35" borderId="32" xfId="0" applyNumberFormat="1" applyFont="1" applyFill="1" applyBorder="1" applyAlignment="1">
      <alignment vertical="center"/>
    </xf>
    <xf numFmtId="167" fontId="78" fillId="35" borderId="33" xfId="0" applyNumberFormat="1" applyFont="1" applyFill="1" applyBorder="1" applyAlignment="1">
      <alignment vertical="center"/>
    </xf>
    <xf numFmtId="167" fontId="78" fillId="35" borderId="36" xfId="0" applyNumberFormat="1" applyFont="1" applyFill="1" applyBorder="1" applyAlignment="1">
      <alignment vertical="center"/>
    </xf>
    <xf numFmtId="167" fontId="8" fillId="35" borderId="24" xfId="0" applyNumberFormat="1" applyFont="1" applyFill="1" applyBorder="1" applyAlignment="1">
      <alignment vertical="center"/>
    </xf>
    <xf numFmtId="167" fontId="8" fillId="35" borderId="25" xfId="0" applyNumberFormat="1" applyFont="1" applyFill="1" applyBorder="1" applyAlignment="1">
      <alignment vertical="center"/>
    </xf>
    <xf numFmtId="167" fontId="8" fillId="35" borderId="28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9" fontId="11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3" fillId="0" borderId="12" xfId="0" applyFont="1" applyFill="1" applyBorder="1" applyAlignment="1">
      <alignment vertical="center" wrapText="1"/>
    </xf>
    <xf numFmtId="0" fontId="72" fillId="0" borderId="0" xfId="0" applyFont="1" applyAlignment="1">
      <alignment/>
    </xf>
    <xf numFmtId="4" fontId="83" fillId="0" borderId="12" xfId="0" applyNumberFormat="1" applyFont="1" applyFill="1" applyBorder="1" applyAlignment="1">
      <alignment vertical="center"/>
    </xf>
    <xf numFmtId="4" fontId="83" fillId="0" borderId="17" xfId="0" applyNumberFormat="1" applyFont="1" applyFill="1" applyBorder="1" applyAlignment="1">
      <alignment vertical="center"/>
    </xf>
    <xf numFmtId="0" fontId="83" fillId="0" borderId="12" xfId="0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49" fontId="83" fillId="0" borderId="12" xfId="0" applyNumberFormat="1" applyFont="1" applyFill="1" applyBorder="1" applyAlignment="1">
      <alignment horizontal="center" vertical="center" wrapText="1"/>
    </xf>
    <xf numFmtId="166" fontId="83" fillId="0" borderId="12" xfId="0" applyNumberFormat="1" applyFont="1" applyFill="1" applyBorder="1" applyAlignment="1">
      <alignment horizontal="center" vertical="center" wrapText="1"/>
    </xf>
    <xf numFmtId="9" fontId="83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/>
    </xf>
    <xf numFmtId="4" fontId="11" fillId="0" borderId="17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 wrapText="1"/>
    </xf>
    <xf numFmtId="0" fontId="72" fillId="0" borderId="0" xfId="0" applyFont="1" applyAlignment="1">
      <alignment vertical="center"/>
    </xf>
    <xf numFmtId="0" fontId="9" fillId="0" borderId="0" xfId="55" applyFont="1" applyFill="1" applyAlignment="1">
      <alignment horizontal="center" vertical="center"/>
      <protection/>
    </xf>
    <xf numFmtId="0" fontId="77" fillId="0" borderId="0" xfId="55" applyFont="1" applyFill="1" applyAlignment="1">
      <alignment horizontal="center" vertical="center"/>
      <protection/>
    </xf>
    <xf numFmtId="0" fontId="83" fillId="0" borderId="12" xfId="0" applyFont="1" applyFill="1" applyBorder="1" applyAlignment="1">
      <alignment horizontal="left" vertical="center" wrapText="1"/>
    </xf>
    <xf numFmtId="4" fontId="72" fillId="0" borderId="0" xfId="0" applyNumberFormat="1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72" fillId="0" borderId="0" xfId="0" applyFont="1" applyFill="1" applyAlignment="1">
      <alignment/>
    </xf>
    <xf numFmtId="4" fontId="0" fillId="0" borderId="0" xfId="0" applyNumberFormat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9" fontId="11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right" vertical="center"/>
    </xf>
    <xf numFmtId="167" fontId="78" fillId="0" borderId="12" xfId="0" applyNumberFormat="1" applyFont="1" applyFill="1" applyBorder="1" applyAlignment="1">
      <alignment vertical="center"/>
    </xf>
    <xf numFmtId="167" fontId="8" fillId="0" borderId="12" xfId="0" applyNumberFormat="1" applyFont="1" applyFill="1" applyBorder="1" applyAlignment="1">
      <alignment vertical="center"/>
    </xf>
    <xf numFmtId="167" fontId="78" fillId="0" borderId="34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vertical="center"/>
    </xf>
    <xf numFmtId="167" fontId="70" fillId="0" borderId="0" xfId="0" applyNumberFormat="1" applyFont="1" applyAlignment="1">
      <alignment/>
    </xf>
    <xf numFmtId="0" fontId="45" fillId="0" borderId="0" xfId="0" applyFont="1" applyBorder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 wrapText="1"/>
    </xf>
    <xf numFmtId="4" fontId="83" fillId="0" borderId="12" xfId="0" applyNumberFormat="1" applyFont="1" applyFill="1" applyBorder="1" applyAlignment="1">
      <alignment horizontal="right" vertical="center"/>
    </xf>
    <xf numFmtId="4" fontId="83" fillId="0" borderId="17" xfId="0" applyNumberFormat="1" applyFont="1" applyFill="1" applyBorder="1" applyAlignment="1">
      <alignment horizontal="right" vertical="center"/>
    </xf>
    <xf numFmtId="4" fontId="83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85" fillId="0" borderId="12" xfId="0" applyNumberFormat="1" applyFont="1" applyFill="1" applyBorder="1" applyAlignment="1">
      <alignment vertical="center"/>
    </xf>
    <xf numFmtId="4" fontId="85" fillId="0" borderId="17" xfId="0" applyNumberFormat="1" applyFont="1" applyFill="1" applyBorder="1" applyAlignment="1">
      <alignment vertical="center"/>
    </xf>
    <xf numFmtId="4" fontId="85" fillId="0" borderId="12" xfId="0" applyNumberFormat="1" applyFont="1" applyFill="1" applyBorder="1" applyAlignment="1">
      <alignment vertical="center" wrapText="1"/>
    </xf>
    <xf numFmtId="4" fontId="72" fillId="0" borderId="0" xfId="0" applyNumberFormat="1" applyFont="1" applyFill="1" applyAlignment="1">
      <alignment/>
    </xf>
    <xf numFmtId="4" fontId="72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0" fontId="85" fillId="0" borderId="12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49" fontId="85" fillId="0" borderId="12" xfId="0" applyNumberFormat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vertical="center" wrapText="1"/>
    </xf>
    <xf numFmtId="166" fontId="85" fillId="0" borderId="12" xfId="0" applyNumberFormat="1" applyFont="1" applyFill="1" applyBorder="1" applyAlignment="1">
      <alignment horizontal="center" vertical="center" wrapText="1"/>
    </xf>
    <xf numFmtId="9" fontId="85" fillId="0" borderId="12" xfId="0" applyNumberFormat="1" applyFont="1" applyFill="1" applyBorder="1" applyAlignment="1">
      <alignment horizontal="center" vertical="center"/>
    </xf>
    <xf numFmtId="4" fontId="86" fillId="0" borderId="0" xfId="0" applyNumberFormat="1" applyFont="1" applyAlignment="1">
      <alignment/>
    </xf>
    <xf numFmtId="0" fontId="86" fillId="0" borderId="0" xfId="0" applyFont="1" applyAlignment="1">
      <alignment/>
    </xf>
    <xf numFmtId="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85" fillId="0" borderId="12" xfId="0" applyFont="1" applyFill="1" applyBorder="1" applyAlignment="1">
      <alignment horizontal="left" vertical="center" wrapText="1"/>
    </xf>
    <xf numFmtId="4" fontId="85" fillId="0" borderId="12" xfId="0" applyNumberFormat="1" applyFont="1" applyFill="1" applyBorder="1" applyAlignment="1">
      <alignment horizontal="right" vertical="center"/>
    </xf>
    <xf numFmtId="4" fontId="85" fillId="0" borderId="17" xfId="0" applyNumberFormat="1" applyFont="1" applyFill="1" applyBorder="1" applyAlignment="1">
      <alignment horizontal="right" vertical="center"/>
    </xf>
    <xf numFmtId="4" fontId="85" fillId="0" borderId="12" xfId="0" applyNumberFormat="1" applyFont="1" applyFill="1" applyBorder="1" applyAlignment="1">
      <alignment horizontal="right" vertical="center" wrapText="1"/>
    </xf>
    <xf numFmtId="4" fontId="86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4" fontId="75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168" fontId="83" fillId="0" borderId="12" xfId="0" applyNumberFormat="1" applyFont="1" applyFill="1" applyBorder="1" applyAlignment="1">
      <alignment horizontal="center" vertical="center"/>
    </xf>
    <xf numFmtId="168" fontId="85" fillId="0" borderId="12" xfId="0" applyNumberFormat="1" applyFont="1" applyFill="1" applyBorder="1" applyAlignment="1">
      <alignment horizontal="center" vertical="center"/>
    </xf>
    <xf numFmtId="168" fontId="11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37" fillId="0" borderId="0" xfId="0" applyFont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 vertical="center"/>
    </xf>
    <xf numFmtId="9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 shrinkToFit="1"/>
    </xf>
    <xf numFmtId="0" fontId="37" fillId="0" borderId="0" xfId="0" applyFont="1" applyFill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9" fillId="0" borderId="0" xfId="55" applyFont="1" applyFill="1" applyAlignment="1">
      <alignment horizontal="left" vertical="center"/>
      <protection/>
    </xf>
    <xf numFmtId="0" fontId="77" fillId="0" borderId="0" xfId="55" applyFont="1" applyFill="1" applyAlignment="1">
      <alignment horizontal="left" vertical="center"/>
      <protection/>
    </xf>
    <xf numFmtId="0" fontId="87" fillId="0" borderId="0" xfId="55" applyFont="1" applyFill="1" applyAlignment="1">
      <alignment horizontal="left" vertical="center"/>
      <protection/>
    </xf>
    <xf numFmtId="0" fontId="84" fillId="36" borderId="0" xfId="0" applyFont="1" applyFill="1" applyBorder="1" applyAlignment="1">
      <alignment vertical="center"/>
    </xf>
    <xf numFmtId="0" fontId="72" fillId="36" borderId="0" xfId="0" applyFont="1" applyFill="1" applyAlignment="1">
      <alignment vertical="center"/>
    </xf>
    <xf numFmtId="4" fontId="37" fillId="36" borderId="0" xfId="0" applyNumberFormat="1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45" fillId="36" borderId="0" xfId="0" applyFont="1" applyFill="1" applyBorder="1" applyAlignment="1">
      <alignment vertical="center"/>
    </xf>
    <xf numFmtId="4" fontId="37" fillId="37" borderId="0" xfId="0" applyNumberFormat="1" applyFont="1" applyFill="1" applyAlignment="1">
      <alignment/>
    </xf>
    <xf numFmtId="0" fontId="37" fillId="37" borderId="0" xfId="0" applyFont="1" applyFill="1" applyAlignment="1">
      <alignment/>
    </xf>
    <xf numFmtId="0" fontId="88" fillId="36" borderId="0" xfId="0" applyFont="1" applyFill="1" applyBorder="1" applyAlignment="1">
      <alignment vertical="center"/>
    </xf>
    <xf numFmtId="0" fontId="86" fillId="36" borderId="0" xfId="0" applyFont="1" applyFill="1" applyAlignment="1">
      <alignment vertical="center"/>
    </xf>
    <xf numFmtId="4" fontId="72" fillId="37" borderId="0" xfId="0" applyNumberFormat="1" applyFont="1" applyFill="1" applyAlignment="1">
      <alignment vertical="center"/>
    </xf>
    <xf numFmtId="0" fontId="72" fillId="37" borderId="0" xfId="0" applyFont="1" applyFill="1" applyAlignment="1">
      <alignment vertical="center"/>
    </xf>
    <xf numFmtId="0" fontId="45" fillId="38" borderId="0" xfId="0" applyFont="1" applyFill="1" applyBorder="1" applyAlignment="1">
      <alignment vertical="center"/>
    </xf>
    <xf numFmtId="0" fontId="37" fillId="38" borderId="0" xfId="0" applyFont="1" applyFill="1" applyAlignment="1">
      <alignment/>
    </xf>
    <xf numFmtId="0" fontId="37" fillId="38" borderId="0" xfId="0" applyFont="1" applyFill="1" applyAlignment="1">
      <alignment vertical="center"/>
    </xf>
    <xf numFmtId="0" fontId="75" fillId="0" borderId="1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9" fontId="37" fillId="0" borderId="0" xfId="59" applyFont="1" applyFill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0" fontId="86" fillId="0" borderId="0" xfId="0" applyFont="1" applyFill="1" applyAlignment="1">
      <alignment/>
    </xf>
    <xf numFmtId="1" fontId="11" fillId="0" borderId="12" xfId="0" applyNumberFormat="1" applyFont="1" applyFill="1" applyBorder="1" applyAlignment="1">
      <alignment horizontal="center" vertical="center" wrapText="1"/>
    </xf>
    <xf numFmtId="168" fontId="12" fillId="0" borderId="12" xfId="0" applyNumberFormat="1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/>
    </xf>
    <xf numFmtId="168" fontId="80" fillId="0" borderId="12" xfId="0" applyNumberFormat="1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 wrapText="1"/>
    </xf>
    <xf numFmtId="9" fontId="80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90" fillId="0" borderId="0" xfId="0" applyFont="1" applyFill="1" applyAlignment="1">
      <alignment horizontal="left"/>
    </xf>
    <xf numFmtId="0" fontId="90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9" fontId="0" fillId="0" borderId="0" xfId="59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 wrapText="1"/>
    </xf>
    <xf numFmtId="0" fontId="91" fillId="0" borderId="17" xfId="0" applyFont="1" applyFill="1" applyBorder="1" applyAlignment="1">
      <alignment horizontal="center" vertical="center" wrapText="1"/>
    </xf>
    <xf numFmtId="49" fontId="91" fillId="0" borderId="12" xfId="0" applyNumberFormat="1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vertical="center" wrapText="1"/>
    </xf>
    <xf numFmtId="168" fontId="91" fillId="0" borderId="12" xfId="0" applyNumberFormat="1" applyFont="1" applyFill="1" applyBorder="1" applyAlignment="1">
      <alignment horizontal="center" vertical="center"/>
    </xf>
    <xf numFmtId="166" fontId="91" fillId="0" borderId="12" xfId="0" applyNumberFormat="1" applyFont="1" applyFill="1" applyBorder="1" applyAlignment="1">
      <alignment horizontal="center" vertical="center" wrapText="1"/>
    </xf>
    <xf numFmtId="4" fontId="91" fillId="0" borderId="12" xfId="0" applyNumberFormat="1" applyFont="1" applyFill="1" applyBorder="1" applyAlignment="1">
      <alignment vertical="center"/>
    </xf>
    <xf numFmtId="4" fontId="91" fillId="0" borderId="17" xfId="0" applyNumberFormat="1" applyFont="1" applyFill="1" applyBorder="1" applyAlignment="1">
      <alignment vertical="center"/>
    </xf>
    <xf numFmtId="4" fontId="91" fillId="0" borderId="12" xfId="0" applyNumberFormat="1" applyFont="1" applyFill="1" applyBorder="1" applyAlignment="1">
      <alignment vertical="center" wrapText="1"/>
    </xf>
    <xf numFmtId="9" fontId="91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vertical="center"/>
    </xf>
    <xf numFmtId="4" fontId="79" fillId="0" borderId="12" xfId="0" applyNumberFormat="1" applyFont="1" applyFill="1" applyBorder="1" applyAlignment="1">
      <alignment vertical="center" wrapText="1"/>
    </xf>
    <xf numFmtId="4" fontId="80" fillId="0" borderId="12" xfId="0" applyNumberFormat="1" applyFont="1" applyFill="1" applyBorder="1" applyAlignment="1">
      <alignment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49" fontId="91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8" fontId="91" fillId="0" borderId="20" xfId="0" applyNumberFormat="1" applyFont="1" applyFill="1" applyBorder="1" applyAlignment="1">
      <alignment horizontal="center" vertical="center"/>
    </xf>
    <xf numFmtId="166" fontId="91" fillId="0" borderId="20" xfId="0" applyNumberFormat="1" applyFont="1" applyFill="1" applyBorder="1" applyAlignment="1">
      <alignment horizontal="center" vertical="center" wrapText="1"/>
    </xf>
    <xf numFmtId="4" fontId="91" fillId="0" borderId="20" xfId="0" applyNumberFormat="1" applyFont="1" applyFill="1" applyBorder="1" applyAlignment="1">
      <alignment vertical="center"/>
    </xf>
    <xf numFmtId="4" fontId="91" fillId="0" borderId="42" xfId="0" applyNumberFormat="1" applyFont="1" applyFill="1" applyBorder="1" applyAlignment="1">
      <alignment vertical="center"/>
    </xf>
    <xf numFmtId="4" fontId="91" fillId="0" borderId="20" xfId="0" applyNumberFormat="1" applyFont="1" applyFill="1" applyBorder="1" applyAlignment="1">
      <alignment vertical="center" wrapText="1"/>
    </xf>
    <xf numFmtId="9" fontId="11" fillId="0" borderId="20" xfId="0" applyNumberFormat="1" applyFont="1" applyFill="1" applyBorder="1" applyAlignment="1">
      <alignment horizontal="center" vertical="center"/>
    </xf>
    <xf numFmtId="4" fontId="11" fillId="0" borderId="42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92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8" fontId="92" fillId="0" borderId="0" xfId="0" applyNumberFormat="1" applyFont="1" applyFill="1" applyBorder="1" applyAlignment="1">
      <alignment horizontal="right" vertical="center"/>
    </xf>
    <xf numFmtId="0" fontId="94" fillId="0" borderId="0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 shrinkToFi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center" wrapText="1" shrinkToFi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53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53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view="pageBreakPreview" zoomScale="85" zoomScaleSheetLayoutView="85" zoomScalePageLayoutView="0" workbookViewId="0" topLeftCell="A19">
      <selection activeCell="E6" sqref="E6"/>
    </sheetView>
  </sheetViews>
  <sheetFormatPr defaultColWidth="9.140625" defaultRowHeight="15"/>
  <cols>
    <col min="1" max="1" width="32.140625" style="13" customWidth="1"/>
    <col min="2" max="2" width="10.7109375" style="13" customWidth="1"/>
    <col min="3" max="5" width="20.7109375" style="13" customWidth="1"/>
    <col min="6" max="15" width="15.7109375" style="13" customWidth="1"/>
    <col min="16" max="16" width="9.140625" style="13" customWidth="1"/>
    <col min="17" max="17" width="11.7109375" style="13" bestFit="1" customWidth="1"/>
    <col min="18" max="19" width="9.140625" style="3" customWidth="1"/>
    <col min="20" max="20" width="11.00390625" style="3" bestFit="1" customWidth="1"/>
    <col min="21" max="21" width="17.8515625" style="3" customWidth="1"/>
    <col min="22" max="22" width="13.7109375" style="3" bestFit="1" customWidth="1"/>
    <col min="23" max="16384" width="9.140625" style="3" customWidth="1"/>
  </cols>
  <sheetData>
    <row r="1" spans="1:24" s="9" customFormat="1" ht="30" customHeight="1" thickBot="1">
      <c r="A1" s="6" t="s">
        <v>195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</row>
    <row r="2" spans="1:24" ht="15">
      <c r="A2" s="10"/>
      <c r="B2" s="10"/>
      <c r="C2" s="10"/>
      <c r="D2" s="10"/>
      <c r="E2" s="10"/>
      <c r="F2" s="340" t="s">
        <v>18</v>
      </c>
      <c r="G2" s="341"/>
      <c r="H2" s="341"/>
      <c r="I2" s="341"/>
      <c r="J2" s="341"/>
      <c r="K2" s="341"/>
      <c r="L2" s="341"/>
      <c r="M2" s="341"/>
      <c r="N2" s="342"/>
      <c r="O2" s="10"/>
      <c r="P2" s="10"/>
      <c r="Q2" s="10"/>
      <c r="R2" s="11"/>
      <c r="S2" s="11"/>
      <c r="T2" s="11"/>
      <c r="U2" s="11"/>
      <c r="V2" s="11"/>
      <c r="W2" s="11"/>
      <c r="X2" s="11"/>
    </row>
    <row r="3" spans="1:24" ht="15">
      <c r="A3" s="12"/>
      <c r="B3" s="10"/>
      <c r="C3" s="10"/>
      <c r="D3" s="10"/>
      <c r="E3" s="10"/>
      <c r="F3" s="343"/>
      <c r="G3" s="344"/>
      <c r="H3" s="344"/>
      <c r="I3" s="344"/>
      <c r="J3" s="344"/>
      <c r="K3" s="344"/>
      <c r="L3" s="344"/>
      <c r="M3" s="344"/>
      <c r="N3" s="345"/>
      <c r="X3" s="11"/>
    </row>
    <row r="4" spans="1:24" ht="18.75">
      <c r="A4" s="14" t="s">
        <v>632</v>
      </c>
      <c r="B4" s="15"/>
      <c r="C4" s="335"/>
      <c r="D4" s="336"/>
      <c r="E4" s="15"/>
      <c r="F4" s="343"/>
      <c r="G4" s="344"/>
      <c r="H4" s="344"/>
      <c r="I4" s="344"/>
      <c r="J4" s="344"/>
      <c r="K4" s="344"/>
      <c r="L4" s="344"/>
      <c r="M4" s="344"/>
      <c r="N4" s="345"/>
      <c r="X4" s="16"/>
    </row>
    <row r="5" spans="1:24" ht="18.75">
      <c r="A5" s="15"/>
      <c r="B5" s="15"/>
      <c r="C5" s="337"/>
      <c r="D5" s="338"/>
      <c r="E5" s="15"/>
      <c r="F5" s="343"/>
      <c r="G5" s="344"/>
      <c r="H5" s="344"/>
      <c r="I5" s="344"/>
      <c r="J5" s="344"/>
      <c r="K5" s="344"/>
      <c r="L5" s="344"/>
      <c r="M5" s="344"/>
      <c r="N5" s="345"/>
      <c r="X5" s="11"/>
    </row>
    <row r="6" spans="1:24" ht="18.75">
      <c r="A6" s="14" t="s">
        <v>104</v>
      </c>
      <c r="B6" s="15"/>
      <c r="C6" s="337"/>
      <c r="D6" s="338"/>
      <c r="E6" s="15"/>
      <c r="F6" s="343"/>
      <c r="G6" s="344"/>
      <c r="H6" s="344"/>
      <c r="I6" s="344"/>
      <c r="J6" s="344"/>
      <c r="K6" s="344"/>
      <c r="L6" s="344"/>
      <c r="M6" s="344"/>
      <c r="N6" s="345"/>
      <c r="X6" s="16"/>
    </row>
    <row r="7" spans="1:24" ht="19.5" thickBot="1">
      <c r="A7" s="15"/>
      <c r="B7" s="15"/>
      <c r="C7" s="339"/>
      <c r="D7" s="338"/>
      <c r="E7" s="15"/>
      <c r="F7" s="346" t="s">
        <v>19</v>
      </c>
      <c r="G7" s="347"/>
      <c r="H7" s="347"/>
      <c r="I7" s="347"/>
      <c r="J7" s="347"/>
      <c r="K7" s="347"/>
      <c r="L7" s="347"/>
      <c r="M7" s="347"/>
      <c r="N7" s="348"/>
      <c r="X7" s="11"/>
    </row>
    <row r="8" spans="1:24" ht="15">
      <c r="A8" s="15"/>
      <c r="B8" s="15"/>
      <c r="C8" s="15"/>
      <c r="D8" s="15"/>
      <c r="E8" s="15"/>
      <c r="F8" s="17"/>
      <c r="G8" s="17"/>
      <c r="H8" s="17"/>
      <c r="I8" s="185"/>
      <c r="J8" s="186"/>
      <c r="K8" s="17"/>
      <c r="L8" s="17"/>
      <c r="M8" s="17"/>
      <c r="N8" s="17"/>
      <c r="X8" s="11"/>
    </row>
    <row r="9" spans="1:24" ht="19.5" customHeight="1" thickBot="1">
      <c r="A9" s="14" t="s">
        <v>0</v>
      </c>
      <c r="B9" s="15"/>
      <c r="C9" s="15"/>
      <c r="D9" s="15"/>
      <c r="E9" s="15"/>
      <c r="F9" s="17"/>
      <c r="G9" s="17"/>
      <c r="H9" s="17"/>
      <c r="I9" s="17"/>
      <c r="J9" s="17"/>
      <c r="K9" s="17"/>
      <c r="L9" s="17"/>
      <c r="M9" s="17"/>
      <c r="N9" s="17"/>
      <c r="X9" s="11"/>
    </row>
    <row r="10" spans="1:24" ht="19.5" customHeight="1">
      <c r="A10" s="349" t="s">
        <v>1</v>
      </c>
      <c r="B10" s="351" t="s">
        <v>36</v>
      </c>
      <c r="C10" s="353" t="s">
        <v>20</v>
      </c>
      <c r="D10" s="355" t="s">
        <v>21</v>
      </c>
      <c r="E10" s="357" t="s">
        <v>22</v>
      </c>
      <c r="F10" s="61"/>
      <c r="G10" s="48"/>
      <c r="H10" s="49"/>
      <c r="I10" s="48"/>
      <c r="J10" s="49" t="s">
        <v>12</v>
      </c>
      <c r="K10" s="48"/>
      <c r="L10" s="48"/>
      <c r="M10" s="48"/>
      <c r="N10" s="49"/>
      <c r="O10" s="50"/>
      <c r="P10" s="30"/>
      <c r="Q10" s="30"/>
      <c r="R10" s="2"/>
      <c r="S10" s="2"/>
      <c r="T10" s="2"/>
      <c r="U10" s="2"/>
      <c r="X10" s="11"/>
    </row>
    <row r="11" spans="1:24" s="1" customFormat="1" ht="19.5" customHeight="1" thickBot="1">
      <c r="A11" s="350"/>
      <c r="B11" s="352"/>
      <c r="C11" s="354"/>
      <c r="D11" s="356"/>
      <c r="E11" s="358"/>
      <c r="F11" s="67">
        <v>2019</v>
      </c>
      <c r="G11" s="68">
        <v>2020</v>
      </c>
      <c r="H11" s="68">
        <v>2021</v>
      </c>
      <c r="I11" s="68">
        <v>2022</v>
      </c>
      <c r="J11" s="68">
        <v>2023</v>
      </c>
      <c r="K11" s="68">
        <v>2024</v>
      </c>
      <c r="L11" s="68">
        <v>2025</v>
      </c>
      <c r="M11" s="68">
        <v>2026</v>
      </c>
      <c r="N11" s="68">
        <v>2027</v>
      </c>
      <c r="O11" s="69">
        <v>2028</v>
      </c>
      <c r="P11" s="17"/>
      <c r="Q11" s="17"/>
      <c r="R11" s="17"/>
      <c r="S11" s="17"/>
      <c r="T11" s="17"/>
      <c r="U11" s="17"/>
      <c r="V11" s="18"/>
      <c r="W11" s="18"/>
      <c r="X11" s="18"/>
    </row>
    <row r="12" spans="1:24" ht="39.75" customHeight="1" thickTop="1">
      <c r="A12" s="71" t="s">
        <v>38</v>
      </c>
      <c r="B12" s="72">
        <f>COUNTA('pow podst'!K3:K35)</f>
        <v>33</v>
      </c>
      <c r="C12" s="73">
        <f>SUM('pow podst'!J3:J35)</f>
        <v>320977394.1499999</v>
      </c>
      <c r="D12" s="74">
        <f>SUM('pow podst'!L3:L35)</f>
        <v>151011696.19</v>
      </c>
      <c r="E12" s="75">
        <f>SUM('pow podst'!K3:K35)</f>
        <v>169965697.95999998</v>
      </c>
      <c r="F12" s="76">
        <f>SUM('pow podst'!N3:N35)</f>
        <v>251303</v>
      </c>
      <c r="G12" s="73">
        <f>SUM('pow podst'!O3:O35)</f>
        <v>452187</v>
      </c>
      <c r="H12" s="73">
        <f>SUM('pow podst'!P3:P35)</f>
        <v>15939703.4</v>
      </c>
      <c r="I12" s="73">
        <f>SUM('pow podst'!Q3:Q35)</f>
        <v>93155993.51</v>
      </c>
      <c r="J12" s="73">
        <f>SUM('pow podst'!R3:R35)</f>
        <v>27559554.049999997</v>
      </c>
      <c r="K12" s="73">
        <f>SUM('pow podst'!S3:S35)</f>
        <v>750000</v>
      </c>
      <c r="L12" s="73">
        <f>SUM('pow podst'!T3:T35)</f>
        <v>31000000</v>
      </c>
      <c r="M12" s="73">
        <f>SUM('pow podst'!U3:U35)</f>
        <v>856957</v>
      </c>
      <c r="N12" s="73">
        <f>SUM('pow podst'!V3:V35)</f>
        <v>0</v>
      </c>
      <c r="O12" s="77">
        <f>SUM('pow podst'!W3:W35)</f>
        <v>0</v>
      </c>
      <c r="P12" s="19" t="b">
        <f>C12=(D12+E12)</f>
        <v>1</v>
      </c>
      <c r="Q12" s="35" t="b">
        <f>E12=SUM(F12:O12)</f>
        <v>1</v>
      </c>
      <c r="R12" s="20"/>
      <c r="S12" s="20"/>
      <c r="T12" s="21"/>
      <c r="U12" s="21"/>
      <c r="V12" s="22"/>
      <c r="W12" s="11"/>
      <c r="X12" s="11"/>
    </row>
    <row r="13" spans="1:24" ht="39.75" customHeight="1">
      <c r="A13" s="78" t="s">
        <v>39</v>
      </c>
      <c r="B13" s="127">
        <f>COUNTIF('pow podst'!C3:C35,"K")</f>
        <v>11</v>
      </c>
      <c r="C13" s="128">
        <f>SUMIF('pow podst'!C3:C35,"K",'pow podst'!J3:J35)</f>
        <v>137971213.71</v>
      </c>
      <c r="D13" s="129">
        <f>SUMIF('pow podst'!C3:C35,"K",'pow podst'!L3:L35)</f>
        <v>62404058.31</v>
      </c>
      <c r="E13" s="40">
        <f>SUMIF('pow podst'!C3:C35,"K",'pow podst'!K3:K35)</f>
        <v>75567155.4</v>
      </c>
      <c r="F13" s="136">
        <f>SUMIF('pow podst'!C3:C35,"K",'pow podst'!N3:N35)</f>
        <v>251303</v>
      </c>
      <c r="G13" s="128">
        <f>SUMIF('pow podst'!C3:C35,"K",'pow podst'!O3:O35)</f>
        <v>452187</v>
      </c>
      <c r="H13" s="128">
        <f>SUMIF('pow podst'!C3:C35,"K",'pow podst'!P3:P35)</f>
        <v>15939703.4</v>
      </c>
      <c r="I13" s="128">
        <f>SUMIF('pow podst'!C3:C35,"K",'pow podst'!Q3:Q35)</f>
        <v>20047275</v>
      </c>
      <c r="J13" s="128">
        <f>SUMIF('pow podst'!C3:C35,"K",'pow podst'!R3:R35)</f>
        <v>8876687</v>
      </c>
      <c r="K13" s="128">
        <f>SUMIF('pow podst'!C3:C35,"K",'pow podst'!S3:S35)</f>
        <v>0</v>
      </c>
      <c r="L13" s="128">
        <f>SUMIF('pow podst'!C3:C35,"K",'pow podst'!T3:T35)</f>
        <v>30000000</v>
      </c>
      <c r="M13" s="128">
        <f>SUMIF('pow podst'!C3:C35,"K",'pow podst'!U3:U35)</f>
        <v>0</v>
      </c>
      <c r="N13" s="128">
        <f>SUMIF('pow podst'!C3:C35,"K",'pow podst'!V3:V35)</f>
        <v>0</v>
      </c>
      <c r="O13" s="137">
        <f>SUMIF('pow podst'!C3:C35,"K",'pow podst'!W3:W35)</f>
        <v>0</v>
      </c>
      <c r="P13" s="19" t="b">
        <f aca="true" t="shared" si="0" ref="P13:P22">C13=(D13+E13)</f>
        <v>1</v>
      </c>
      <c r="Q13" s="35" t="b">
        <f aca="true" t="shared" si="1" ref="Q13:Q19">E13=SUM(F13:O13)</f>
        <v>1</v>
      </c>
      <c r="R13" s="20"/>
      <c r="S13" s="20"/>
      <c r="T13" s="21"/>
      <c r="U13" s="21"/>
      <c r="V13" s="22"/>
      <c r="W13" s="11"/>
      <c r="X13" s="11"/>
    </row>
    <row r="14" spans="1:24" ht="39.75" customHeight="1">
      <c r="A14" s="79" t="s">
        <v>40</v>
      </c>
      <c r="B14" s="130">
        <f>COUNTIF('pow podst'!C3:C35,"N")</f>
        <v>16</v>
      </c>
      <c r="C14" s="131">
        <f>SUMIF('pow podst'!C3:C35,"N",'pow podst'!J3:J35)</f>
        <v>94490477.05000001</v>
      </c>
      <c r="D14" s="132">
        <f>SUMIF('pow podst'!C3:C35,"N",'pow podst'!L3:L35)</f>
        <v>45876670.53999999</v>
      </c>
      <c r="E14" s="39">
        <f>SUMIF('pow podst'!C3:C35,"N",'pow podst'!K3:K35)</f>
        <v>48613806.51</v>
      </c>
      <c r="F14" s="138">
        <f>SUMIF('pow podst'!C3:C35,"N",'pow podst'!N3:N35)</f>
        <v>0</v>
      </c>
      <c r="G14" s="131">
        <f>SUMIF('pow podst'!C3:C35,"N",'pow podst'!O3:O35)</f>
        <v>0</v>
      </c>
      <c r="H14" s="131">
        <f>SUMIF('pow podst'!C3:C35,"N",'pow podst'!P3:P35)</f>
        <v>0</v>
      </c>
      <c r="I14" s="131">
        <f>SUMIF('pow podst'!C3:C35,"N",'pow podst'!Q3:Q35)</f>
        <v>48613806.51</v>
      </c>
      <c r="J14" s="131">
        <f>SUMIF('pow podst'!C3:C35,"N",'pow podst'!R3:R35)</f>
        <v>0</v>
      </c>
      <c r="K14" s="131">
        <f>SUMIF('pow podst'!C3:C35,"N",'pow podst'!S3:S35)</f>
        <v>0</v>
      </c>
      <c r="L14" s="131">
        <f>SUMIF('pow podst'!C3:C35,"N",'pow podst'!T3:T35)</f>
        <v>0</v>
      </c>
      <c r="M14" s="131">
        <f>SUMIF('pow podst'!C3:C35,"N",'pow podst'!U3:U35)</f>
        <v>0</v>
      </c>
      <c r="N14" s="131">
        <f>SUMIF('pow podst'!C3:C35,"N",'pow podst'!V3:V35)</f>
        <v>0</v>
      </c>
      <c r="O14" s="139">
        <f>SUMIF('pow podst'!C3:C35,"N",'pow podst'!W3:W35)</f>
        <v>0</v>
      </c>
      <c r="P14" s="19" t="b">
        <f t="shared" si="0"/>
        <v>1</v>
      </c>
      <c r="Q14" s="35" t="b">
        <f t="shared" si="1"/>
        <v>1</v>
      </c>
      <c r="R14" s="20"/>
      <c r="S14" s="20"/>
      <c r="T14" s="21"/>
      <c r="U14" s="21"/>
      <c r="V14" s="22"/>
      <c r="W14" s="11"/>
      <c r="X14" s="11"/>
    </row>
    <row r="15" spans="1:24" ht="39.75" customHeight="1" thickBot="1">
      <c r="A15" s="80" t="s">
        <v>41</v>
      </c>
      <c r="B15" s="133">
        <f>COUNTIF('pow podst'!C3:C35,"W")</f>
        <v>6</v>
      </c>
      <c r="C15" s="134">
        <f>SUMIF('pow podst'!C3:C35,"W",'pow podst'!J3:J35)</f>
        <v>88515703.39</v>
      </c>
      <c r="D15" s="135">
        <f>SUMIF('pow podst'!C3:C35,"W",'pow podst'!L3:L35)</f>
        <v>42730967.34</v>
      </c>
      <c r="E15" s="81">
        <f>SUMIF('pow podst'!C3:C35,"W",'pow podst'!K3:K35)</f>
        <v>45784736.05</v>
      </c>
      <c r="F15" s="140">
        <f>SUMIF('pow podst'!C3:C35,"W",'pow podst'!N3:N35)</f>
        <v>0</v>
      </c>
      <c r="G15" s="134">
        <f>SUMIF('pow podst'!C3:C35,"W",'pow podst'!O3:O35)</f>
        <v>0</v>
      </c>
      <c r="H15" s="134">
        <f>SUMIF('pow podst'!C3:C35,"W",'pow podst'!P3:P35)</f>
        <v>0</v>
      </c>
      <c r="I15" s="134">
        <f>SUMIF('pow podst'!C3:C35,"W",'pow podst'!Q3:Q35)</f>
        <v>24494912</v>
      </c>
      <c r="J15" s="134">
        <f>SUMIF('pow podst'!C3:C35,"W",'pow podst'!R3:R35)</f>
        <v>18682867.049999997</v>
      </c>
      <c r="K15" s="134">
        <f>SUMIF('pow podst'!C3:C35,"W",'pow podst'!S3:S35)</f>
        <v>750000</v>
      </c>
      <c r="L15" s="134">
        <f>SUMIF('pow podst'!C3:C35,"W",'pow podst'!T3:T35)</f>
        <v>1000000</v>
      </c>
      <c r="M15" s="134">
        <f>SUMIF('pow podst'!C3:C35,"W",'pow podst'!U3:U35)</f>
        <v>856957</v>
      </c>
      <c r="N15" s="134">
        <f>SUMIF('pow podst'!C3:C35,"W",'pow podst'!V3:V35)</f>
        <v>0</v>
      </c>
      <c r="O15" s="141">
        <f>SUMIF('pow podst'!C3:C35,"W",'pow podst'!W3:W35)</f>
        <v>0</v>
      </c>
      <c r="P15" s="19" t="b">
        <f t="shared" si="0"/>
        <v>1</v>
      </c>
      <c r="Q15" s="35" t="b">
        <f t="shared" si="1"/>
        <v>1</v>
      </c>
      <c r="R15" s="20"/>
      <c r="S15" s="20"/>
      <c r="T15" s="21"/>
      <c r="U15" s="21"/>
      <c r="V15" s="22"/>
      <c r="W15" s="11"/>
      <c r="X15" s="11"/>
    </row>
    <row r="16" spans="1:24" ht="39.75" customHeight="1" thickTop="1">
      <c r="A16" s="71" t="s">
        <v>42</v>
      </c>
      <c r="B16" s="72">
        <f>COUNTA('gm podst'!L3:L77)</f>
        <v>75</v>
      </c>
      <c r="C16" s="73">
        <f>SUM('gm podst'!K3:K77)</f>
        <v>330433719.19</v>
      </c>
      <c r="D16" s="74">
        <f>SUM('gm podst'!M3:M77)</f>
        <v>132564836.66999997</v>
      </c>
      <c r="E16" s="75">
        <f>SUM('gm podst'!L3:L77)</f>
        <v>197868882.52</v>
      </c>
      <c r="F16" s="142">
        <f>SUM('gm podst'!O3:O77)</f>
        <v>0</v>
      </c>
      <c r="G16" s="143">
        <f>SUM('gm podst'!P3:P77)</f>
        <v>5017520</v>
      </c>
      <c r="H16" s="143">
        <f>SUM('gm podst'!Q3:Q77)</f>
        <v>27244523.35</v>
      </c>
      <c r="I16" s="143">
        <f>SUM('gm podst'!R3:R77)</f>
        <v>108270349.52000001</v>
      </c>
      <c r="J16" s="143">
        <f>SUM('gm podst'!S3:S77)</f>
        <v>39543496.699999996</v>
      </c>
      <c r="K16" s="143">
        <f>SUM('gm podst'!T3:T77)</f>
        <v>14277666.950000003</v>
      </c>
      <c r="L16" s="143">
        <f>SUM('gm podst'!U3:U77)</f>
        <v>3515326</v>
      </c>
      <c r="M16" s="143">
        <f>SUM('gm podst'!V3:V77)</f>
        <v>0</v>
      </c>
      <c r="N16" s="143">
        <f>SUM('gm podst'!W3:W77)</f>
        <v>0</v>
      </c>
      <c r="O16" s="144">
        <f>SUM('gm podst'!X3:X77)</f>
        <v>0</v>
      </c>
      <c r="P16" s="19" t="b">
        <f t="shared" si="0"/>
        <v>1</v>
      </c>
      <c r="Q16" s="35" t="b">
        <f>E16=SUM(F16:O16)</f>
        <v>1</v>
      </c>
      <c r="R16" s="20"/>
      <c r="S16" s="20"/>
      <c r="T16" s="21"/>
      <c r="U16" s="21"/>
      <c r="V16" s="21"/>
      <c r="W16" s="21"/>
      <c r="X16" s="21"/>
    </row>
    <row r="17" spans="1:24" ht="39.75" customHeight="1">
      <c r="A17" s="78" t="s">
        <v>39</v>
      </c>
      <c r="B17" s="127">
        <f>COUNTIF('gm podst'!C3:C77,"K")</f>
        <v>23</v>
      </c>
      <c r="C17" s="128">
        <f>SUMIF('gm podst'!C3:C77,"K",'gm podst'!K3:K77)</f>
        <v>156566426.18</v>
      </c>
      <c r="D17" s="129">
        <f>SUMIF('gm podst'!C3:C77,"K",'gm podst'!M3:M77)</f>
        <v>56676955.53</v>
      </c>
      <c r="E17" s="40">
        <f>SUMIF('gm podst'!C3:C77,"K",'gm podst'!L3:L77)</f>
        <v>99889470.65</v>
      </c>
      <c r="F17" s="136">
        <f>SUMIF('gm podst'!C3:C77,"K",'gm podst'!O3:O77)</f>
        <v>0</v>
      </c>
      <c r="G17" s="128">
        <f>SUMIF('gm podst'!C3:C77,"K",'gm podst'!P3:P77)</f>
        <v>5017520</v>
      </c>
      <c r="H17" s="128">
        <f>SUMIF('gm podst'!C3:C77,"K",'gm podst'!Q3:Q77)</f>
        <v>27244523.35</v>
      </c>
      <c r="I17" s="182">
        <f>SUMIF('gm podst'!C3:C77,"K",'gm podst'!R3:R77)</f>
        <v>46537852.65</v>
      </c>
      <c r="J17" s="128">
        <f>SUMIF('gm podst'!C3:C77,"K",'gm podst'!S3:S77)</f>
        <v>21089574.65</v>
      </c>
      <c r="K17" s="128">
        <f>SUMIF('gm podst'!C3:C77,"K",'gm podst'!T3:T77)</f>
        <v>0</v>
      </c>
      <c r="L17" s="128">
        <f>SUMIF('gm podst'!C3:C77,"K",'gm podst'!U3:U77)</f>
        <v>0</v>
      </c>
      <c r="M17" s="128">
        <f>SUMIF('gm podst'!C3:C77,"K",'gm podst'!V3:V77)</f>
        <v>0</v>
      </c>
      <c r="N17" s="128">
        <f>SUMIF('gm podst'!C3:C77,"K",'gm podst'!W3:W77)</f>
        <v>0</v>
      </c>
      <c r="O17" s="137">
        <f>SUMIF('gm podst'!C3:C77,"K",'gm podst'!X3:X77)</f>
        <v>0</v>
      </c>
      <c r="P17" s="19" t="b">
        <f t="shared" si="0"/>
        <v>1</v>
      </c>
      <c r="Q17" s="35" t="b">
        <f t="shared" si="1"/>
        <v>1</v>
      </c>
      <c r="R17" s="20"/>
      <c r="S17" s="20"/>
      <c r="T17" s="21"/>
      <c r="U17" s="21"/>
      <c r="V17" s="21"/>
      <c r="W17" s="21"/>
      <c r="X17" s="21"/>
    </row>
    <row r="18" spans="1:24" ht="39.75" customHeight="1">
      <c r="A18" s="79" t="s">
        <v>40</v>
      </c>
      <c r="B18" s="130">
        <f>COUNTIF('gm podst'!C3:C77,"N")</f>
        <v>39</v>
      </c>
      <c r="C18" s="131">
        <f>SUMIF('gm podst'!C3:C77,"N",'gm podst'!K3:K77)</f>
        <v>79092646.80999999</v>
      </c>
      <c r="D18" s="132">
        <f>SUMIF('gm podst'!C3:C77,"N",'gm podst'!M3:M77)</f>
        <v>34517524.81</v>
      </c>
      <c r="E18" s="39">
        <f>SUMIF('gm podst'!C3:C77,"N",'gm podst'!L3:L77)</f>
        <v>44575122</v>
      </c>
      <c r="F18" s="138">
        <f>SUMIF('gm podst'!C3:C77,"N",'gm podst'!O3:O77)</f>
        <v>0</v>
      </c>
      <c r="G18" s="131">
        <f>SUMIF('gm podst'!C3:C77,"N",'gm podst'!P3:P77)</f>
        <v>0</v>
      </c>
      <c r="H18" s="131">
        <f>SUMIF('gm podst'!C3:C77,"N",'gm podst'!Q3:Q77)</f>
        <v>0</v>
      </c>
      <c r="I18" s="183">
        <f>SUMIF('gm podst'!C3:C77,"N",'gm podst'!R3:R77)</f>
        <v>44575122</v>
      </c>
      <c r="J18" s="131">
        <f>SUMIF('gm podst'!C3:C77,"N",'gm podst'!S3:S77)</f>
        <v>0</v>
      </c>
      <c r="K18" s="131">
        <f>SUMIF('gm podst'!C3:C77,"N",'gm podst'!T3:T77)</f>
        <v>0</v>
      </c>
      <c r="L18" s="131">
        <f>SUMIF('gm podst'!C3:C77,"N",'gm podst'!U3:U77)</f>
        <v>0</v>
      </c>
      <c r="M18" s="131">
        <f>SUMIF('gm podst'!C3:C77,"N",'gm podst'!V3:V77)</f>
        <v>0</v>
      </c>
      <c r="N18" s="131">
        <f>SUMIF('gm podst'!C3:C77,"N",'gm podst'!W3:W77)</f>
        <v>0</v>
      </c>
      <c r="O18" s="139">
        <f>SUMIF('gm podst'!C3:C77,"N",'gm podst'!X3:X77)</f>
        <v>0</v>
      </c>
      <c r="P18" s="19" t="b">
        <f t="shared" si="0"/>
        <v>1</v>
      </c>
      <c r="Q18" s="35" t="b">
        <f t="shared" si="1"/>
        <v>1</v>
      </c>
      <c r="R18" s="20"/>
      <c r="S18" s="20"/>
      <c r="T18" s="21"/>
      <c r="U18" s="21"/>
      <c r="V18" s="21"/>
      <c r="W18" s="21"/>
      <c r="X18" s="21"/>
    </row>
    <row r="19" spans="1:24" ht="39.75" customHeight="1" thickBot="1">
      <c r="A19" s="80" t="s">
        <v>41</v>
      </c>
      <c r="B19" s="133">
        <f>COUNTIF('gm podst'!C3:C77,"W")</f>
        <v>13</v>
      </c>
      <c r="C19" s="134">
        <f>SUMIF('gm podst'!C3:C77,"W",'gm podst'!K3:K77)</f>
        <v>94774646.20000002</v>
      </c>
      <c r="D19" s="135">
        <f>SUMIF('gm podst'!C3:C77,"W",'gm podst'!M3:M77)</f>
        <v>41370356.330000006</v>
      </c>
      <c r="E19" s="81">
        <f>SUMIF('gm podst'!C3:C77,"W",'gm podst'!L3:L77)</f>
        <v>53404289.87</v>
      </c>
      <c r="F19" s="140">
        <f>SUMIF('gm podst'!C3:C77,"W",'gm podst'!O3:O77)</f>
        <v>0</v>
      </c>
      <c r="G19" s="134">
        <f>SUMIF('gm podst'!C3:C77,"W",'gm podst'!P3:P77)</f>
        <v>0</v>
      </c>
      <c r="H19" s="134">
        <f>SUMIF('gm podst'!C3:C77,"W",'gm podst'!Q3:Q77)</f>
        <v>0</v>
      </c>
      <c r="I19" s="184">
        <f>SUMIF('gm podst'!C3:C77,"W",'gm podst'!R3:R77)</f>
        <v>17157374.87</v>
      </c>
      <c r="J19" s="134">
        <f>SUMIF('gm podst'!C3:C77,"W",'gm podst'!S3:S77)</f>
        <v>18453922.049999997</v>
      </c>
      <c r="K19" s="134">
        <f>SUMIF('gm podst'!C3:C77,"W",'gm podst'!T3:T77)</f>
        <v>14277666.950000003</v>
      </c>
      <c r="L19" s="134">
        <f>SUMIF('gm podst'!C3:C77,"W",'gm podst'!U3:U77)</f>
        <v>3515326</v>
      </c>
      <c r="M19" s="134">
        <f>SUMIF('gm podst'!C3:C77,"W",'gm podst'!V3:V77)</f>
        <v>0</v>
      </c>
      <c r="N19" s="134">
        <f>SUMIF('gm podst'!C3:C77,"W",'gm podst'!W3:W77)</f>
        <v>0</v>
      </c>
      <c r="O19" s="141">
        <f>SUMIF('gm podst'!C3:C77,"W",'gm podst'!X3:X77)</f>
        <v>0</v>
      </c>
      <c r="P19" s="19" t="b">
        <f t="shared" si="0"/>
        <v>1</v>
      </c>
      <c r="Q19" s="35" t="b">
        <f t="shared" si="1"/>
        <v>1</v>
      </c>
      <c r="R19" s="20"/>
      <c r="S19" s="20"/>
      <c r="T19" s="21"/>
      <c r="U19" s="21"/>
      <c r="V19" s="21"/>
      <c r="W19" s="21"/>
      <c r="X19" s="21"/>
    </row>
    <row r="20" spans="1:24" s="25" customFormat="1" ht="39.75" customHeight="1" thickTop="1">
      <c r="A20" s="82" t="s">
        <v>43</v>
      </c>
      <c r="B20" s="83">
        <f>B12+B16</f>
        <v>108</v>
      </c>
      <c r="C20" s="84">
        <f>C12+C16</f>
        <v>651411113.3399999</v>
      </c>
      <c r="D20" s="85">
        <f aca="true" t="shared" si="2" ref="C20:O22">D12+D16</f>
        <v>283576532.85999995</v>
      </c>
      <c r="E20" s="86">
        <f t="shared" si="2"/>
        <v>367834580.48</v>
      </c>
      <c r="F20" s="87">
        <f t="shared" si="2"/>
        <v>251303</v>
      </c>
      <c r="G20" s="84">
        <f t="shared" si="2"/>
        <v>5469707</v>
      </c>
      <c r="H20" s="84">
        <f t="shared" si="2"/>
        <v>43184226.75</v>
      </c>
      <c r="I20" s="84">
        <f t="shared" si="2"/>
        <v>201426343.03000003</v>
      </c>
      <c r="J20" s="84">
        <f t="shared" si="2"/>
        <v>67103050.74999999</v>
      </c>
      <c r="K20" s="84">
        <f t="shared" si="2"/>
        <v>15027666.950000003</v>
      </c>
      <c r="L20" s="84">
        <f t="shared" si="2"/>
        <v>34515326</v>
      </c>
      <c r="M20" s="84">
        <f t="shared" si="2"/>
        <v>856957</v>
      </c>
      <c r="N20" s="84">
        <f t="shared" si="2"/>
        <v>0</v>
      </c>
      <c r="O20" s="88">
        <f t="shared" si="2"/>
        <v>0</v>
      </c>
      <c r="P20" s="19" t="b">
        <f t="shared" si="0"/>
        <v>1</v>
      </c>
      <c r="Q20" s="35" t="b">
        <f>E20=SUM(F20:O20)</f>
        <v>1</v>
      </c>
      <c r="R20" s="23"/>
      <c r="S20" s="23"/>
      <c r="T20" s="24"/>
      <c r="U20" s="24"/>
      <c r="V20" s="188"/>
      <c r="W20" s="24"/>
      <c r="X20" s="24"/>
    </row>
    <row r="21" spans="1:24" s="25" customFormat="1" ht="39.75" customHeight="1">
      <c r="A21" s="89" t="s">
        <v>39</v>
      </c>
      <c r="B21" s="52">
        <f>B13+B17</f>
        <v>34</v>
      </c>
      <c r="C21" s="44">
        <f t="shared" si="2"/>
        <v>294537639.89</v>
      </c>
      <c r="D21" s="57">
        <f t="shared" si="2"/>
        <v>119081013.84</v>
      </c>
      <c r="E21" s="40">
        <f t="shared" si="2"/>
        <v>175456626.05</v>
      </c>
      <c r="F21" s="62">
        <f t="shared" si="2"/>
        <v>251303</v>
      </c>
      <c r="G21" s="44">
        <f t="shared" si="2"/>
        <v>5469707</v>
      </c>
      <c r="H21" s="44">
        <f t="shared" si="2"/>
        <v>43184226.75</v>
      </c>
      <c r="I21" s="44">
        <f t="shared" si="2"/>
        <v>66585127.65</v>
      </c>
      <c r="J21" s="44">
        <f t="shared" si="2"/>
        <v>29966261.65</v>
      </c>
      <c r="K21" s="44">
        <f t="shared" si="2"/>
        <v>0</v>
      </c>
      <c r="L21" s="44">
        <f t="shared" si="2"/>
        <v>30000000</v>
      </c>
      <c r="M21" s="44">
        <f t="shared" si="2"/>
        <v>0</v>
      </c>
      <c r="N21" s="44">
        <f t="shared" si="2"/>
        <v>0</v>
      </c>
      <c r="O21" s="90">
        <f t="shared" si="2"/>
        <v>0</v>
      </c>
      <c r="P21" s="19" t="b">
        <f t="shared" si="0"/>
        <v>1</v>
      </c>
      <c r="Q21" s="35" t="b">
        <f>E21=SUM(F21:O21)</f>
        <v>1</v>
      </c>
      <c r="R21" s="23"/>
      <c r="S21" s="23"/>
      <c r="T21" s="24"/>
      <c r="U21" s="24"/>
      <c r="V21" s="24"/>
      <c r="W21" s="24"/>
      <c r="X21" s="24"/>
    </row>
    <row r="22" spans="1:24" s="25" customFormat="1" ht="39.75" customHeight="1">
      <c r="A22" s="91" t="s">
        <v>40</v>
      </c>
      <c r="B22" s="53">
        <f>B14+B18</f>
        <v>55</v>
      </c>
      <c r="C22" s="47">
        <f t="shared" si="2"/>
        <v>173583123.86</v>
      </c>
      <c r="D22" s="58">
        <f t="shared" si="2"/>
        <v>80394195.35</v>
      </c>
      <c r="E22" s="39">
        <f t="shared" si="2"/>
        <v>93188928.50999999</v>
      </c>
      <c r="F22" s="63">
        <f t="shared" si="2"/>
        <v>0</v>
      </c>
      <c r="G22" s="47">
        <f t="shared" si="2"/>
        <v>0</v>
      </c>
      <c r="H22" s="47">
        <f t="shared" si="2"/>
        <v>0</v>
      </c>
      <c r="I22" s="47">
        <f t="shared" si="2"/>
        <v>93188928.50999999</v>
      </c>
      <c r="J22" s="47">
        <f t="shared" si="2"/>
        <v>0</v>
      </c>
      <c r="K22" s="47">
        <f t="shared" si="2"/>
        <v>0</v>
      </c>
      <c r="L22" s="47">
        <f t="shared" si="2"/>
        <v>0</v>
      </c>
      <c r="M22" s="47">
        <f t="shared" si="2"/>
        <v>0</v>
      </c>
      <c r="N22" s="47">
        <f t="shared" si="2"/>
        <v>0</v>
      </c>
      <c r="O22" s="92">
        <f t="shared" si="2"/>
        <v>0</v>
      </c>
      <c r="P22" s="19" t="b">
        <f t="shared" si="0"/>
        <v>1</v>
      </c>
      <c r="Q22" s="35" t="b">
        <f>E22=SUM(F22:O22)</f>
        <v>1</v>
      </c>
      <c r="R22" s="23"/>
      <c r="S22" s="23"/>
      <c r="T22" s="24"/>
      <c r="U22" s="24"/>
      <c r="V22" s="24"/>
      <c r="W22" s="24"/>
      <c r="X22" s="24"/>
    </row>
    <row r="23" spans="1:24" s="25" customFormat="1" ht="39.75" customHeight="1" thickBot="1">
      <c r="A23" s="93" t="s">
        <v>41</v>
      </c>
      <c r="B23" s="94">
        <f>B15+B19</f>
        <v>19</v>
      </c>
      <c r="C23" s="95">
        <f aca="true" t="shared" si="3" ref="C23:O23">C15+C19</f>
        <v>183290349.59000003</v>
      </c>
      <c r="D23" s="96">
        <f t="shared" si="3"/>
        <v>84101323.67000002</v>
      </c>
      <c r="E23" s="81">
        <f t="shared" si="3"/>
        <v>99189025.91999999</v>
      </c>
      <c r="F23" s="97">
        <f t="shared" si="3"/>
        <v>0</v>
      </c>
      <c r="G23" s="95">
        <f t="shared" si="3"/>
        <v>0</v>
      </c>
      <c r="H23" s="95">
        <f t="shared" si="3"/>
        <v>0</v>
      </c>
      <c r="I23" s="95">
        <f t="shared" si="3"/>
        <v>41652286.870000005</v>
      </c>
      <c r="J23" s="95">
        <f t="shared" si="3"/>
        <v>37136789.099999994</v>
      </c>
      <c r="K23" s="95">
        <f t="shared" si="3"/>
        <v>15027666.950000003</v>
      </c>
      <c r="L23" s="95">
        <f t="shared" si="3"/>
        <v>4515326</v>
      </c>
      <c r="M23" s="95">
        <f t="shared" si="3"/>
        <v>856957</v>
      </c>
      <c r="N23" s="95">
        <f t="shared" si="3"/>
        <v>0</v>
      </c>
      <c r="O23" s="98">
        <f t="shared" si="3"/>
        <v>0</v>
      </c>
      <c r="P23" s="19" t="b">
        <f>C23=(D23+E23)</f>
        <v>1</v>
      </c>
      <c r="Q23" s="35" t="b">
        <f>E23=SUM(F23:O23)</f>
        <v>1</v>
      </c>
      <c r="R23" s="23"/>
      <c r="S23" s="23"/>
      <c r="T23" s="24"/>
      <c r="U23" s="24"/>
      <c r="V23" s="24"/>
      <c r="W23" s="24"/>
      <c r="X23" s="24"/>
    </row>
    <row r="24" spans="1:24" ht="39.75" customHeight="1" thickTop="1">
      <c r="A24" s="71" t="s">
        <v>2</v>
      </c>
      <c r="B24" s="72">
        <f>COUNTA('pow rez'!K3:K21)</f>
        <v>19</v>
      </c>
      <c r="C24" s="73">
        <f>SUM('pow rez'!J3:J21)</f>
        <v>116079808.09000002</v>
      </c>
      <c r="D24" s="74">
        <f>SUM('pow rez'!L3:L21)</f>
        <v>53167675.46</v>
      </c>
      <c r="E24" s="75">
        <f>SUM('pow rez'!K3:K21)</f>
        <v>62912132.63</v>
      </c>
      <c r="F24" s="76">
        <f>SUM('pow rez'!N3:N21)</f>
        <v>0</v>
      </c>
      <c r="G24" s="73">
        <f>SUM('pow rez'!O3:O21)</f>
        <v>0</v>
      </c>
      <c r="H24" s="73">
        <f>SUM('pow rez'!P3:P21)</f>
        <v>0</v>
      </c>
      <c r="I24" s="73">
        <f>SUM('pow rez'!Q3:Q21)</f>
        <v>50416412.63</v>
      </c>
      <c r="J24" s="73">
        <f>SUM('pow rez'!R3:R21)</f>
        <v>10922805</v>
      </c>
      <c r="K24" s="73">
        <f>SUM('pow rez'!S3:S21)</f>
        <v>1572915</v>
      </c>
      <c r="L24" s="73">
        <f>SUM('pow rez'!T3:T21)</f>
        <v>0</v>
      </c>
      <c r="M24" s="73">
        <f>SUM('pow rez'!U3:U21)</f>
        <v>0</v>
      </c>
      <c r="N24" s="73">
        <f>SUM('pow rez'!V3:V21)</f>
        <v>0</v>
      </c>
      <c r="O24" s="77">
        <f>SUM('pow rez'!W3:W21)</f>
        <v>0</v>
      </c>
      <c r="P24" s="19" t="b">
        <f>C24=(D24+E24)</f>
        <v>1</v>
      </c>
      <c r="Q24" s="35" t="b">
        <f aca="true" t="shared" si="4" ref="Q24:Q35">E24=SUM(F24:O24)</f>
        <v>1</v>
      </c>
      <c r="R24" s="20"/>
      <c r="S24" s="20"/>
      <c r="T24" s="21"/>
      <c r="U24" s="21"/>
      <c r="V24" s="21"/>
      <c r="W24" s="21"/>
      <c r="X24" s="21"/>
    </row>
    <row r="25" spans="1:24" ht="39.75" customHeight="1">
      <c r="A25" s="79" t="s">
        <v>40</v>
      </c>
      <c r="B25" s="130">
        <f>COUNTIF('pow rez'!C3:C21,"N")</f>
        <v>14</v>
      </c>
      <c r="C25" s="131">
        <f>SUMIF('pow rez'!C3:C21,"N",'pow rez'!J3:J21)</f>
        <v>75925483.13</v>
      </c>
      <c r="D25" s="132">
        <f>SUMIF('pow rez'!C3:C21,"N",'pow rez'!L3:L21)</f>
        <v>35483358.5</v>
      </c>
      <c r="E25" s="39">
        <f>SUMIF('pow rez'!C3:C21,"N",'pow rez'!K3:K21)</f>
        <v>40442124.63</v>
      </c>
      <c r="F25" s="138">
        <f>SUMIF('pow rez'!C3:C21,"N",'pow rez'!N3:N21)</f>
        <v>0</v>
      </c>
      <c r="G25" s="131">
        <f>SUMIF('pow rez'!C3:C21,"N",'pow rez'!O3:O21)</f>
        <v>0</v>
      </c>
      <c r="H25" s="131">
        <f>SUMIF('pow rez'!C3:C21,"N",'pow rez'!P3:P21)</f>
        <v>0</v>
      </c>
      <c r="I25" s="131">
        <f>SUMIF('pow rez'!C3:C21,"N",'pow rez'!Q3:Q21)</f>
        <v>40442124.63</v>
      </c>
      <c r="J25" s="131">
        <f>SUMIF('pow rez'!C3:C21,"N",'pow rez'!R3:R21)</f>
        <v>0</v>
      </c>
      <c r="K25" s="131">
        <f>SUMIF('pow rez'!C3:C21,"N",'pow rez'!S3:S21)</f>
        <v>0</v>
      </c>
      <c r="L25" s="131">
        <f>SUMIF('pow rez'!C3:C21,"N",'pow rez'!T3:T21)</f>
        <v>0</v>
      </c>
      <c r="M25" s="131">
        <f>SUMIF('pow rez'!C3:C21,"N",'pow rez'!U3:U21)</f>
        <v>0</v>
      </c>
      <c r="N25" s="131">
        <f>SUMIF('pow rez'!C3:C21,"N",'pow rez'!V3:V21)</f>
        <v>0</v>
      </c>
      <c r="O25" s="139">
        <f>SUMIF('pow rez'!C3:C21,"N",'pow rez'!W3:W21)</f>
        <v>0</v>
      </c>
      <c r="P25" s="19" t="b">
        <f aca="true" t="shared" si="5" ref="P25:P35">C25=(D25+E25)</f>
        <v>1</v>
      </c>
      <c r="Q25" s="35" t="b">
        <f t="shared" si="4"/>
        <v>1</v>
      </c>
      <c r="R25" s="20"/>
      <c r="S25" s="20"/>
      <c r="T25" s="21"/>
      <c r="U25" s="21"/>
      <c r="V25" s="21"/>
      <c r="W25" s="21"/>
      <c r="X25" s="21"/>
    </row>
    <row r="26" spans="1:24" ht="39.75" customHeight="1" thickBot="1">
      <c r="A26" s="80" t="s">
        <v>41</v>
      </c>
      <c r="B26" s="133">
        <f>COUNTIF('pow rez'!C3:C21,"W")</f>
        <v>5</v>
      </c>
      <c r="C26" s="134">
        <f>SUMIF('pow rez'!C3:C21,"W",'pow rez'!J3:J21)</f>
        <v>40154324.96000001</v>
      </c>
      <c r="D26" s="135">
        <f>SUMIF('pow rez'!C3:C21,"W",'pow rez'!L3:L21)</f>
        <v>17684316.96</v>
      </c>
      <c r="E26" s="81">
        <f>SUMIF('pow rez'!C3:C21,"W",'pow rez'!K3:K21)</f>
        <v>22470008</v>
      </c>
      <c r="F26" s="140">
        <f>SUMIF('pow rez'!C3:C21,"W",'pow rez'!N3:N21)</f>
        <v>0</v>
      </c>
      <c r="G26" s="134">
        <f>SUMIF('pow rez'!C3:C21,"W",'pow rez'!O3:O21)</f>
        <v>0</v>
      </c>
      <c r="H26" s="134">
        <f>SUMIF('pow rez'!C3:C21,"W",'pow rez'!P3:P21)</f>
        <v>0</v>
      </c>
      <c r="I26" s="134">
        <f>SUMIF('pow rez'!C3:C21,"W",'pow rez'!Q3:Q21)</f>
        <v>9974288</v>
      </c>
      <c r="J26" s="134">
        <f>SUMIF('pow rez'!C3:C21,"W",'pow rez'!R3:R21)</f>
        <v>10922805</v>
      </c>
      <c r="K26" s="134">
        <f>SUMIF('pow rez'!C3:C21,"W",'pow rez'!S3:S21)</f>
        <v>1572915</v>
      </c>
      <c r="L26" s="134">
        <f>SUMIF('pow rez'!C3:C21,"W",'pow rez'!T3:T21)</f>
        <v>0</v>
      </c>
      <c r="M26" s="134">
        <f>SUMIF('pow rez'!C3:C21,"W",'pow rez'!U3:U21)</f>
        <v>0</v>
      </c>
      <c r="N26" s="134">
        <f>SUMIF('pow rez'!C3:C21,"W",'pow rez'!V3:V21)</f>
        <v>0</v>
      </c>
      <c r="O26" s="141">
        <f>SUMIF('pow rez'!C3:C21,"W",'pow rez'!W3:W21)</f>
        <v>0</v>
      </c>
      <c r="P26" s="19" t="b">
        <f t="shared" si="5"/>
        <v>1</v>
      </c>
      <c r="Q26" s="35" t="b">
        <f t="shared" si="4"/>
        <v>1</v>
      </c>
      <c r="R26" s="20"/>
      <c r="S26" s="20"/>
      <c r="T26" s="21"/>
      <c r="U26" s="21"/>
      <c r="V26" s="21"/>
      <c r="W26" s="21"/>
      <c r="X26" s="21"/>
    </row>
    <row r="27" spans="1:24" ht="39.75" customHeight="1" thickTop="1">
      <c r="A27" s="71" t="s">
        <v>3</v>
      </c>
      <c r="B27" s="72">
        <f>COUNTA('gm rez'!C3:C51)</f>
        <v>49</v>
      </c>
      <c r="C27" s="73">
        <f>SUM('gm rez'!K3:K51)</f>
        <v>126431503.11000001</v>
      </c>
      <c r="D27" s="74">
        <f>SUM('gm rez'!M3:M51)</f>
        <v>58048946.11000002</v>
      </c>
      <c r="E27" s="75">
        <f>SUM('gm rez'!L3:L51)</f>
        <v>68382557</v>
      </c>
      <c r="F27" s="76">
        <f>SUM('gm rez'!O3:O51)</f>
        <v>0</v>
      </c>
      <c r="G27" s="73">
        <f>SUM('gm rez'!P3:P51)</f>
        <v>0</v>
      </c>
      <c r="H27" s="73">
        <f>SUM('gm rez'!Q3:Q51)</f>
        <v>0</v>
      </c>
      <c r="I27" s="73">
        <f>SUM('gm rez'!R3:R51)</f>
        <v>44232410</v>
      </c>
      <c r="J27" s="73">
        <f>SUM('gm rez'!S3:S51)</f>
        <v>13007885</v>
      </c>
      <c r="K27" s="73">
        <f>SUM('gm rez'!T3:T51)</f>
        <v>8422959</v>
      </c>
      <c r="L27" s="73">
        <f>SUM('gm rez'!U3:U51)</f>
        <v>2719303</v>
      </c>
      <c r="M27" s="73">
        <f>SUM('gm rez'!V3:V51)</f>
        <v>0</v>
      </c>
      <c r="N27" s="73">
        <f>SUM('gm rez'!W3:W51)</f>
        <v>0</v>
      </c>
      <c r="O27" s="77">
        <f>SUM('gm rez'!X3:X51)</f>
        <v>0</v>
      </c>
      <c r="P27" s="19" t="b">
        <f t="shared" si="5"/>
        <v>1</v>
      </c>
      <c r="Q27" s="35" t="b">
        <f t="shared" si="4"/>
        <v>1</v>
      </c>
      <c r="R27" s="26"/>
      <c r="S27" s="26"/>
      <c r="T27" s="27"/>
      <c r="U27" s="27"/>
      <c r="V27" s="22"/>
      <c r="W27" s="11"/>
      <c r="X27" s="11"/>
    </row>
    <row r="28" spans="1:24" ht="39.75" customHeight="1">
      <c r="A28" s="79" t="s">
        <v>40</v>
      </c>
      <c r="B28" s="130">
        <f>COUNTIF('gm rez'!C3:C51,"N")</f>
        <v>41</v>
      </c>
      <c r="C28" s="131">
        <f>SUMIF('gm rez'!C3:C51,"N",'gm rez'!K3:K51)</f>
        <v>65093307.98000001</v>
      </c>
      <c r="D28" s="132">
        <f>SUMIF('gm rez'!C3:C51,"N",'gm rez'!M3:M51)</f>
        <v>28729430.98</v>
      </c>
      <c r="E28" s="39">
        <f>SUMIF('gm rez'!C3:C51,"N",'gm rez'!L3:L51)</f>
        <v>36363877</v>
      </c>
      <c r="F28" s="138">
        <f>SUMIF('gm rez'!C3:C51,"N",'gm rez'!O3:O51)</f>
        <v>0</v>
      </c>
      <c r="G28" s="131">
        <f>SUMIF('gm rez'!C3:C51,"N",'gm rez'!P3:P51)</f>
        <v>0</v>
      </c>
      <c r="H28" s="131">
        <f>SUMIF('gm rez'!C3:C51,"N",'gm rez'!Q3:Q51)</f>
        <v>0</v>
      </c>
      <c r="I28" s="131">
        <f>SUMIF('gm rez'!C3:C51,"N",'gm rez'!R3:R51)</f>
        <v>36363877</v>
      </c>
      <c r="J28" s="131">
        <f>SUMIF('gm rez'!C3:C51,"N",'gm rez'!S3:S51)</f>
        <v>0</v>
      </c>
      <c r="K28" s="131">
        <f>SUMIF('gm rez'!C3:C51,"N",'gm rez'!T3:T51)</f>
        <v>0</v>
      </c>
      <c r="L28" s="131">
        <f>SUMIF('gm rez'!C3:C51,"N",'gm rez'!U3:U51)</f>
        <v>0</v>
      </c>
      <c r="M28" s="131">
        <f>SUMIF('gm rez'!C3:C51,"N",'gm rez'!V3:V51)</f>
        <v>0</v>
      </c>
      <c r="N28" s="131">
        <f>SUMIF('gm rez'!C3:C51,"N",'gm rez'!W3:W51)</f>
        <v>0</v>
      </c>
      <c r="O28" s="139">
        <f>SUMIF('gm rez'!C3:C51,"N",'gm rez'!X3:X51)</f>
        <v>0</v>
      </c>
      <c r="P28" s="19" t="b">
        <f t="shared" si="5"/>
        <v>1</v>
      </c>
      <c r="Q28" s="35" t="b">
        <f t="shared" si="4"/>
        <v>1</v>
      </c>
      <c r="R28" s="26"/>
      <c r="S28" s="26"/>
      <c r="T28" s="27"/>
      <c r="U28" s="27"/>
      <c r="V28" s="22"/>
      <c r="W28" s="11"/>
      <c r="X28" s="11"/>
    </row>
    <row r="29" spans="1:24" ht="39.75" customHeight="1" thickBot="1">
      <c r="A29" s="80" t="s">
        <v>41</v>
      </c>
      <c r="B29" s="133">
        <f>COUNTIF('gm rez'!C3:C51,"W")</f>
        <v>8</v>
      </c>
      <c r="C29" s="134">
        <f>SUMIF('gm rez'!C3:C51,"W",'gm rez'!K3:K51)</f>
        <v>61338195.129999995</v>
      </c>
      <c r="D29" s="135">
        <f>SUMIF('gm rez'!C3:C51,"W",'gm rez'!M3:M51)</f>
        <v>29319515.130000003</v>
      </c>
      <c r="E29" s="81">
        <f>SUMIF('gm rez'!C3:C51,"W",'gm rez'!L3:L51)</f>
        <v>32018680</v>
      </c>
      <c r="F29" s="140">
        <f>SUMIF('gm rez'!C3:C51,"W",'gm rez'!O3:O51)</f>
        <v>0</v>
      </c>
      <c r="G29" s="134">
        <f>SUMIF('gm rez'!C3:C51,"W",'gm rez'!P3:P51)</f>
        <v>0</v>
      </c>
      <c r="H29" s="134">
        <f>SUMIF('gm rez'!C3:C51,"W",'gm rez'!Q3:Q51)</f>
        <v>0</v>
      </c>
      <c r="I29" s="134">
        <f>SUMIF('gm rez'!C3:C51,"W",'gm rez'!R3:R51)</f>
        <v>7868533</v>
      </c>
      <c r="J29" s="134">
        <f>SUMIF('gm rez'!C3:C51,"W",'gm rez'!S3:S51)</f>
        <v>13007885</v>
      </c>
      <c r="K29" s="134">
        <f>SUMIF('gm rez'!C3:C51,"W",'gm rez'!T3:T51)</f>
        <v>8422959</v>
      </c>
      <c r="L29" s="134">
        <f>SUMIF('gm rez'!C3:C51,"W",'gm rez'!U3:U51)</f>
        <v>2719303</v>
      </c>
      <c r="M29" s="134">
        <f>SUMIF('gm rez'!C3:C51,"W",'gm rez'!V3:V51)</f>
        <v>0</v>
      </c>
      <c r="N29" s="134">
        <f>SUMIF('gm rez'!C3:C51,"W",'gm rez'!W3:W51)</f>
        <v>0</v>
      </c>
      <c r="O29" s="141">
        <f>SUMIF('gm rez'!C3:C51,"W",'gm rez'!X3:X51)</f>
        <v>0</v>
      </c>
      <c r="P29" s="19" t="b">
        <f t="shared" si="5"/>
        <v>1</v>
      </c>
      <c r="Q29" s="35" t="b">
        <f t="shared" si="4"/>
        <v>1</v>
      </c>
      <c r="R29" s="26"/>
      <c r="S29" s="26"/>
      <c r="T29" s="27"/>
      <c r="U29" s="27"/>
      <c r="V29" s="22"/>
      <c r="W29" s="11"/>
      <c r="X29" s="11"/>
    </row>
    <row r="30" spans="1:21" ht="39.75" customHeight="1" thickTop="1">
      <c r="A30" s="99" t="s">
        <v>23</v>
      </c>
      <c r="B30" s="100">
        <f>B24+B27</f>
        <v>68</v>
      </c>
      <c r="C30" s="101">
        <f aca="true" t="shared" si="6" ref="C30:O30">C24+C27</f>
        <v>242511311.20000005</v>
      </c>
      <c r="D30" s="102">
        <f t="shared" si="6"/>
        <v>111216621.57000002</v>
      </c>
      <c r="E30" s="70">
        <f t="shared" si="6"/>
        <v>131294689.63</v>
      </c>
      <c r="F30" s="103">
        <f t="shared" si="6"/>
        <v>0</v>
      </c>
      <c r="G30" s="101">
        <f t="shared" si="6"/>
        <v>0</v>
      </c>
      <c r="H30" s="101">
        <f t="shared" si="6"/>
        <v>0</v>
      </c>
      <c r="I30" s="101">
        <f t="shared" si="6"/>
        <v>94648822.63</v>
      </c>
      <c r="J30" s="101">
        <f t="shared" si="6"/>
        <v>23930690</v>
      </c>
      <c r="K30" s="101">
        <f t="shared" si="6"/>
        <v>9995874</v>
      </c>
      <c r="L30" s="101">
        <f t="shared" si="6"/>
        <v>2719303</v>
      </c>
      <c r="M30" s="101">
        <f t="shared" si="6"/>
        <v>0</v>
      </c>
      <c r="N30" s="101">
        <f t="shared" si="6"/>
        <v>0</v>
      </c>
      <c r="O30" s="104">
        <f t="shared" si="6"/>
        <v>0</v>
      </c>
      <c r="P30" s="19" t="b">
        <f t="shared" si="5"/>
        <v>1</v>
      </c>
      <c r="Q30" s="35" t="b">
        <f t="shared" si="4"/>
        <v>1</v>
      </c>
      <c r="R30" s="203"/>
      <c r="S30" s="203"/>
      <c r="T30" s="203"/>
      <c r="U30" s="2"/>
    </row>
    <row r="31" spans="1:21" ht="39.75" customHeight="1">
      <c r="A31" s="56" t="s">
        <v>40</v>
      </c>
      <c r="B31" s="54">
        <f aca="true" t="shared" si="7" ref="B31:O31">B25+B28</f>
        <v>55</v>
      </c>
      <c r="C31" s="45">
        <f t="shared" si="7"/>
        <v>141018791.11</v>
      </c>
      <c r="D31" s="59">
        <f t="shared" si="7"/>
        <v>64212789.480000004</v>
      </c>
      <c r="E31" s="39">
        <f t="shared" si="7"/>
        <v>76806001.63</v>
      </c>
      <c r="F31" s="64">
        <f t="shared" si="7"/>
        <v>0</v>
      </c>
      <c r="G31" s="45">
        <f t="shared" si="7"/>
        <v>0</v>
      </c>
      <c r="H31" s="45">
        <f t="shared" si="7"/>
        <v>0</v>
      </c>
      <c r="I31" s="45">
        <f t="shared" si="7"/>
        <v>76806001.63</v>
      </c>
      <c r="J31" s="45">
        <f t="shared" si="7"/>
        <v>0</v>
      </c>
      <c r="K31" s="45">
        <f t="shared" si="7"/>
        <v>0</v>
      </c>
      <c r="L31" s="45">
        <f t="shared" si="7"/>
        <v>0</v>
      </c>
      <c r="M31" s="45">
        <f t="shared" si="7"/>
        <v>0</v>
      </c>
      <c r="N31" s="45">
        <f t="shared" si="7"/>
        <v>0</v>
      </c>
      <c r="O31" s="51">
        <f t="shared" si="7"/>
        <v>0</v>
      </c>
      <c r="P31" s="19" t="b">
        <f t="shared" si="5"/>
        <v>1</v>
      </c>
      <c r="Q31" s="35" t="b">
        <f t="shared" si="4"/>
        <v>1</v>
      </c>
      <c r="R31" s="28"/>
      <c r="S31" s="28"/>
      <c r="T31" s="2"/>
      <c r="U31" s="2"/>
    </row>
    <row r="32" spans="1:21" ht="39.75" customHeight="1" thickBot="1">
      <c r="A32" s="105" t="s">
        <v>41</v>
      </c>
      <c r="B32" s="106">
        <f aca="true" t="shared" si="8" ref="B32:O32">B26+B29</f>
        <v>13</v>
      </c>
      <c r="C32" s="107">
        <f t="shared" si="8"/>
        <v>101492520.09</v>
      </c>
      <c r="D32" s="108">
        <f t="shared" si="8"/>
        <v>47003832.09</v>
      </c>
      <c r="E32" s="109">
        <f t="shared" si="8"/>
        <v>54488688</v>
      </c>
      <c r="F32" s="110">
        <f t="shared" si="8"/>
        <v>0</v>
      </c>
      <c r="G32" s="107">
        <f t="shared" si="8"/>
        <v>0</v>
      </c>
      <c r="H32" s="107">
        <f t="shared" si="8"/>
        <v>0</v>
      </c>
      <c r="I32" s="107">
        <f t="shared" si="8"/>
        <v>17842821</v>
      </c>
      <c r="J32" s="107">
        <f t="shared" si="8"/>
        <v>23930690</v>
      </c>
      <c r="K32" s="107">
        <f t="shared" si="8"/>
        <v>9995874</v>
      </c>
      <c r="L32" s="107">
        <f t="shared" si="8"/>
        <v>2719303</v>
      </c>
      <c r="M32" s="107">
        <f t="shared" si="8"/>
        <v>0</v>
      </c>
      <c r="N32" s="107">
        <f t="shared" si="8"/>
        <v>0</v>
      </c>
      <c r="O32" s="111">
        <f t="shared" si="8"/>
        <v>0</v>
      </c>
      <c r="P32" s="19" t="b">
        <f t="shared" si="5"/>
        <v>1</v>
      </c>
      <c r="Q32" s="35" t="b">
        <f t="shared" si="4"/>
        <v>1</v>
      </c>
      <c r="R32" s="28"/>
      <c r="S32" s="28"/>
      <c r="T32" s="2"/>
      <c r="U32" s="2"/>
    </row>
    <row r="33" spans="1:21" ht="39.75" customHeight="1" thickTop="1">
      <c r="A33" s="112" t="s">
        <v>35</v>
      </c>
      <c r="B33" s="113">
        <f>B20+B30</f>
        <v>176</v>
      </c>
      <c r="C33" s="114">
        <f aca="true" t="shared" si="9" ref="C33:O33">C20+C30</f>
        <v>893922424.54</v>
      </c>
      <c r="D33" s="115">
        <f t="shared" si="9"/>
        <v>394793154.42999995</v>
      </c>
      <c r="E33" s="116">
        <f t="shared" si="9"/>
        <v>499129270.11</v>
      </c>
      <c r="F33" s="117">
        <f t="shared" si="9"/>
        <v>251303</v>
      </c>
      <c r="G33" s="114">
        <f t="shared" si="9"/>
        <v>5469707</v>
      </c>
      <c r="H33" s="114">
        <f t="shared" si="9"/>
        <v>43184226.75</v>
      </c>
      <c r="I33" s="114">
        <f t="shared" si="9"/>
        <v>296075165.66</v>
      </c>
      <c r="J33" s="114">
        <f t="shared" si="9"/>
        <v>91033740.75</v>
      </c>
      <c r="K33" s="114">
        <f t="shared" si="9"/>
        <v>25023540.950000003</v>
      </c>
      <c r="L33" s="114">
        <f t="shared" si="9"/>
        <v>37234629</v>
      </c>
      <c r="M33" s="114">
        <f t="shared" si="9"/>
        <v>856957</v>
      </c>
      <c r="N33" s="114">
        <f t="shared" si="9"/>
        <v>0</v>
      </c>
      <c r="O33" s="118">
        <f t="shared" si="9"/>
        <v>0</v>
      </c>
      <c r="P33" s="19" t="b">
        <f t="shared" si="5"/>
        <v>1</v>
      </c>
      <c r="Q33" s="35" t="b">
        <f t="shared" si="4"/>
        <v>1</v>
      </c>
      <c r="R33" s="28"/>
      <c r="S33" s="28"/>
      <c r="T33" s="2"/>
      <c r="U33" s="2"/>
    </row>
    <row r="34" spans="1:21" ht="39.75" customHeight="1">
      <c r="A34" s="119" t="s">
        <v>40</v>
      </c>
      <c r="B34" s="55">
        <f>B22+B31</f>
        <v>110</v>
      </c>
      <c r="C34" s="46">
        <f aca="true" t="shared" si="10" ref="C34:O34">C22+C31</f>
        <v>314601914.97</v>
      </c>
      <c r="D34" s="60">
        <f t="shared" si="10"/>
        <v>144606984.82999998</v>
      </c>
      <c r="E34" s="66">
        <f t="shared" si="10"/>
        <v>169994930.14</v>
      </c>
      <c r="F34" s="65">
        <f t="shared" si="10"/>
        <v>0</v>
      </c>
      <c r="G34" s="46">
        <f t="shared" si="10"/>
        <v>0</v>
      </c>
      <c r="H34" s="46">
        <f t="shared" si="10"/>
        <v>0</v>
      </c>
      <c r="I34" s="46">
        <f t="shared" si="10"/>
        <v>169994930.14</v>
      </c>
      <c r="J34" s="46">
        <f t="shared" si="10"/>
        <v>0</v>
      </c>
      <c r="K34" s="46">
        <f t="shared" si="10"/>
        <v>0</v>
      </c>
      <c r="L34" s="46">
        <f t="shared" si="10"/>
        <v>0</v>
      </c>
      <c r="M34" s="46">
        <f t="shared" si="10"/>
        <v>0</v>
      </c>
      <c r="N34" s="46">
        <f t="shared" si="10"/>
        <v>0</v>
      </c>
      <c r="O34" s="120">
        <f t="shared" si="10"/>
        <v>0</v>
      </c>
      <c r="P34" s="19" t="b">
        <f t="shared" si="5"/>
        <v>1</v>
      </c>
      <c r="Q34" s="35" t="b">
        <f t="shared" si="4"/>
        <v>1</v>
      </c>
      <c r="R34" s="28"/>
      <c r="S34" s="28"/>
      <c r="T34" s="2"/>
      <c r="U34" s="2"/>
    </row>
    <row r="35" spans="1:21" ht="39.75" customHeight="1" thickBot="1">
      <c r="A35" s="121" t="s">
        <v>41</v>
      </c>
      <c r="B35" s="122">
        <f>B23+B32</f>
        <v>32</v>
      </c>
      <c r="C35" s="123">
        <f aca="true" t="shared" si="11" ref="C35:O35">C23+C32</f>
        <v>284782869.68000007</v>
      </c>
      <c r="D35" s="124">
        <f t="shared" si="11"/>
        <v>131105155.76000002</v>
      </c>
      <c r="E35" s="81">
        <f t="shared" si="11"/>
        <v>153677713.92</v>
      </c>
      <c r="F35" s="125">
        <f t="shared" si="11"/>
        <v>0</v>
      </c>
      <c r="G35" s="123">
        <f t="shared" si="11"/>
        <v>0</v>
      </c>
      <c r="H35" s="123">
        <f t="shared" si="11"/>
        <v>0</v>
      </c>
      <c r="I35" s="123">
        <f t="shared" si="11"/>
        <v>59495107.870000005</v>
      </c>
      <c r="J35" s="123">
        <f t="shared" si="11"/>
        <v>61067479.099999994</v>
      </c>
      <c r="K35" s="123">
        <f t="shared" si="11"/>
        <v>25023540.950000003</v>
      </c>
      <c r="L35" s="123">
        <f t="shared" si="11"/>
        <v>7234629</v>
      </c>
      <c r="M35" s="123">
        <f t="shared" si="11"/>
        <v>856957</v>
      </c>
      <c r="N35" s="123">
        <f t="shared" si="11"/>
        <v>0</v>
      </c>
      <c r="O35" s="126">
        <f t="shared" si="11"/>
        <v>0</v>
      </c>
      <c r="P35" s="19" t="b">
        <f t="shared" si="5"/>
        <v>1</v>
      </c>
      <c r="Q35" s="35" t="b">
        <f t="shared" si="4"/>
        <v>1</v>
      </c>
      <c r="R35" s="28"/>
      <c r="S35" s="28"/>
      <c r="T35" s="2"/>
      <c r="U35" s="2"/>
    </row>
    <row r="36" spans="1:21" ht="15.75" thickTop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8"/>
      <c r="S36" s="28"/>
      <c r="T36" s="2"/>
      <c r="U36" s="2"/>
    </row>
    <row r="37" spans="1:21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8"/>
      <c r="S37" s="28"/>
      <c r="T37" s="2"/>
      <c r="U37" s="2"/>
    </row>
    <row r="38" spans="1:21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  <c r="S38" s="28"/>
      <c r="T38" s="2"/>
      <c r="U38" s="2"/>
    </row>
    <row r="39" spans="1:21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8"/>
      <c r="S39" s="28"/>
      <c r="T39" s="2"/>
      <c r="U39" s="2"/>
    </row>
    <row r="40" spans="1:21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2"/>
      <c r="S40" s="2"/>
      <c r="T40" s="2"/>
      <c r="U40" s="2"/>
    </row>
    <row r="41" spans="1:21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"/>
      <c r="S41" s="2"/>
      <c r="T41" s="2"/>
      <c r="U41" s="2"/>
    </row>
    <row r="42" spans="1:21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"/>
      <c r="S42" s="2"/>
      <c r="T42" s="2"/>
      <c r="U42" s="2"/>
    </row>
  </sheetData>
  <sheetProtection/>
  <mergeCells count="7">
    <mergeCell ref="F2:N6"/>
    <mergeCell ref="F7:N7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  <headerFooter>
    <oddHeader>&amp;LWojewództwo podkaprackie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showGridLines="0" view="pageBreakPreview" zoomScale="110" zoomScaleSheetLayoutView="110" zoomScalePageLayoutView="115" workbookViewId="0" topLeftCell="P28">
      <selection activeCell="A36" sqref="A36:G36"/>
    </sheetView>
  </sheetViews>
  <sheetFormatPr defaultColWidth="9.140625" defaultRowHeight="15"/>
  <cols>
    <col min="1" max="1" width="11.00390625" style="287" customWidth="1"/>
    <col min="2" max="5" width="15.7109375" style="287" customWidth="1"/>
    <col min="6" max="6" width="65.8515625" style="4" customWidth="1"/>
    <col min="7" max="7" width="13.28125" style="287" customWidth="1"/>
    <col min="8" max="8" width="13.00390625" style="287" customWidth="1"/>
    <col min="9" max="9" width="15.7109375" style="287" customWidth="1"/>
    <col min="10" max="12" width="15.7109375" style="4" customWidth="1"/>
    <col min="13" max="13" width="15.7109375" style="288" customWidth="1"/>
    <col min="14" max="15" width="15.7109375" style="4" customWidth="1"/>
    <col min="16" max="16" width="17.00390625" style="4" customWidth="1"/>
    <col min="17" max="23" width="15.7109375" style="4" customWidth="1"/>
    <col min="24" max="24" width="9.00390625" style="274" bestFit="1" customWidth="1"/>
    <col min="25" max="26" width="15.7109375" style="273" customWidth="1"/>
    <col min="27" max="27" width="15.7109375" style="274" customWidth="1"/>
    <col min="28" max="28" width="9.140625" style="213" customWidth="1"/>
    <col min="29" max="16384" width="9.140625" style="4" customWidth="1"/>
  </cols>
  <sheetData>
    <row r="1" spans="1:24" ht="15">
      <c r="A1" s="363" t="s">
        <v>4</v>
      </c>
      <c r="B1" s="363" t="s">
        <v>5</v>
      </c>
      <c r="C1" s="364" t="s">
        <v>45</v>
      </c>
      <c r="D1" s="360" t="s">
        <v>6</v>
      </c>
      <c r="E1" s="360" t="s">
        <v>34</v>
      </c>
      <c r="F1" s="360" t="s">
        <v>7</v>
      </c>
      <c r="G1" s="363" t="s">
        <v>27</v>
      </c>
      <c r="H1" s="363" t="s">
        <v>8</v>
      </c>
      <c r="I1" s="363" t="s">
        <v>24</v>
      </c>
      <c r="J1" s="363" t="s">
        <v>9</v>
      </c>
      <c r="K1" s="363" t="s">
        <v>16</v>
      </c>
      <c r="L1" s="360" t="s">
        <v>13</v>
      </c>
      <c r="M1" s="363" t="s">
        <v>11</v>
      </c>
      <c r="N1" s="363" t="s">
        <v>12</v>
      </c>
      <c r="O1" s="363"/>
      <c r="P1" s="363"/>
      <c r="Q1" s="363"/>
      <c r="R1" s="363"/>
      <c r="S1" s="363"/>
      <c r="T1" s="363"/>
      <c r="U1" s="363"/>
      <c r="V1" s="363"/>
      <c r="W1" s="363"/>
      <c r="X1" s="273"/>
    </row>
    <row r="2" spans="1:27" ht="31.5" customHeight="1">
      <c r="A2" s="363"/>
      <c r="B2" s="363"/>
      <c r="C2" s="365"/>
      <c r="D2" s="361"/>
      <c r="E2" s="361"/>
      <c r="F2" s="361"/>
      <c r="G2" s="363"/>
      <c r="H2" s="363"/>
      <c r="I2" s="363"/>
      <c r="J2" s="363"/>
      <c r="K2" s="363"/>
      <c r="L2" s="361"/>
      <c r="M2" s="363"/>
      <c r="N2" s="272">
        <v>2019</v>
      </c>
      <c r="O2" s="272">
        <v>2020</v>
      </c>
      <c r="P2" s="272">
        <v>2021</v>
      </c>
      <c r="Q2" s="272">
        <v>2022</v>
      </c>
      <c r="R2" s="272">
        <v>2023</v>
      </c>
      <c r="S2" s="272">
        <v>2024</v>
      </c>
      <c r="T2" s="272">
        <v>2025</v>
      </c>
      <c r="U2" s="272">
        <v>2026</v>
      </c>
      <c r="V2" s="272">
        <v>2027</v>
      </c>
      <c r="W2" s="272">
        <v>2028</v>
      </c>
      <c r="X2" s="273" t="s">
        <v>30</v>
      </c>
      <c r="Y2" s="273" t="s">
        <v>31</v>
      </c>
      <c r="Z2" s="273" t="s">
        <v>32</v>
      </c>
      <c r="AA2" s="173" t="s">
        <v>33</v>
      </c>
    </row>
    <row r="3" spans="1:28" s="176" customFormat="1" ht="25.5" customHeight="1">
      <c r="A3" s="156">
        <v>1</v>
      </c>
      <c r="B3" s="156" t="s">
        <v>105</v>
      </c>
      <c r="C3" s="157" t="s">
        <v>48</v>
      </c>
      <c r="D3" s="158" t="s">
        <v>52</v>
      </c>
      <c r="E3" s="158" t="s">
        <v>53</v>
      </c>
      <c r="F3" s="152" t="s">
        <v>54</v>
      </c>
      <c r="G3" s="156" t="s">
        <v>50</v>
      </c>
      <c r="H3" s="227">
        <v>3.154</v>
      </c>
      <c r="I3" s="159" t="s">
        <v>106</v>
      </c>
      <c r="J3" s="155">
        <v>1981886.8</v>
      </c>
      <c r="K3" s="155">
        <v>1585509</v>
      </c>
      <c r="L3" s="161">
        <v>396377.80000000005</v>
      </c>
      <c r="M3" s="160">
        <v>0.8</v>
      </c>
      <c r="N3" s="155">
        <v>251303</v>
      </c>
      <c r="O3" s="155">
        <v>452187</v>
      </c>
      <c r="P3" s="161">
        <v>452187</v>
      </c>
      <c r="Q3" s="161">
        <v>429832</v>
      </c>
      <c r="R3" s="161">
        <v>0</v>
      </c>
      <c r="S3" s="161">
        <v>0</v>
      </c>
      <c r="T3" s="161">
        <v>0</v>
      </c>
      <c r="U3" s="161">
        <v>0</v>
      </c>
      <c r="V3" s="161">
        <v>0</v>
      </c>
      <c r="W3" s="161">
        <v>0</v>
      </c>
      <c r="X3" s="273" t="b">
        <f>K3=SUM(N3:W3)</f>
        <v>1</v>
      </c>
      <c r="Y3" s="275">
        <f>ROUND(K3/J3,4)</f>
        <v>0.8</v>
      </c>
      <c r="Z3" s="276" t="b">
        <f>Y3=M3</f>
        <v>1</v>
      </c>
      <c r="AA3" s="276" t="b">
        <f>J3=K3+L3</f>
        <v>1</v>
      </c>
      <c r="AB3" s="213"/>
    </row>
    <row r="4" spans="1:28" s="176" customFormat="1" ht="48">
      <c r="A4" s="156">
        <v>2</v>
      </c>
      <c r="B4" s="156" t="s">
        <v>107</v>
      </c>
      <c r="C4" s="157" t="s">
        <v>48</v>
      </c>
      <c r="D4" s="158" t="s">
        <v>63</v>
      </c>
      <c r="E4" s="158">
        <v>1810</v>
      </c>
      <c r="F4" s="152" t="s">
        <v>108</v>
      </c>
      <c r="G4" s="156" t="s">
        <v>51</v>
      </c>
      <c r="H4" s="227">
        <v>5.638</v>
      </c>
      <c r="I4" s="159" t="s">
        <v>198</v>
      </c>
      <c r="J4" s="155">
        <v>17215840.94</v>
      </c>
      <c r="K4" s="155">
        <v>10329504</v>
      </c>
      <c r="L4" s="161">
        <v>6886336.940000001</v>
      </c>
      <c r="M4" s="160">
        <v>0.6</v>
      </c>
      <c r="N4" s="155">
        <v>0</v>
      </c>
      <c r="O4" s="155">
        <v>0</v>
      </c>
      <c r="P4" s="161">
        <v>6000000</v>
      </c>
      <c r="Q4" s="161">
        <v>4329504</v>
      </c>
      <c r="R4" s="161">
        <v>0</v>
      </c>
      <c r="S4" s="161">
        <v>0</v>
      </c>
      <c r="T4" s="161">
        <v>0</v>
      </c>
      <c r="U4" s="161">
        <v>0</v>
      </c>
      <c r="V4" s="161">
        <v>0</v>
      </c>
      <c r="W4" s="161">
        <v>0</v>
      </c>
      <c r="X4" s="273" t="b">
        <f aca="true" t="shared" si="0" ref="X4:X35">K4=SUM(N4:W4)</f>
        <v>1</v>
      </c>
      <c r="Y4" s="275">
        <f aca="true" t="shared" si="1" ref="Y4:Y35">ROUND(K4/J4,4)</f>
        <v>0.6</v>
      </c>
      <c r="Z4" s="276" t="b">
        <f aca="true" t="shared" si="2" ref="Z4:Z35">Y4=M4</f>
        <v>1</v>
      </c>
      <c r="AA4" s="276" t="b">
        <f aca="true" t="shared" si="3" ref="AA4:AA35">J4=K4+L4</f>
        <v>1</v>
      </c>
      <c r="AB4" s="213"/>
    </row>
    <row r="5" spans="1:28" s="176" customFormat="1" ht="24">
      <c r="A5" s="156">
        <v>3</v>
      </c>
      <c r="B5" s="156" t="s">
        <v>110</v>
      </c>
      <c r="C5" s="157" t="s">
        <v>48</v>
      </c>
      <c r="D5" s="158" t="s">
        <v>62</v>
      </c>
      <c r="E5" s="158">
        <v>1804</v>
      </c>
      <c r="F5" s="152" t="s">
        <v>111</v>
      </c>
      <c r="G5" s="156" t="s">
        <v>50</v>
      </c>
      <c r="H5" s="227">
        <v>8.258809999999999</v>
      </c>
      <c r="I5" s="159" t="s">
        <v>199</v>
      </c>
      <c r="J5" s="155">
        <v>14741815.02</v>
      </c>
      <c r="K5" s="155">
        <v>9582179</v>
      </c>
      <c r="L5" s="161">
        <v>5159636.02</v>
      </c>
      <c r="M5" s="160">
        <v>0.65</v>
      </c>
      <c r="N5" s="155">
        <v>0</v>
      </c>
      <c r="O5" s="155">
        <v>0</v>
      </c>
      <c r="P5" s="161">
        <v>492987</v>
      </c>
      <c r="Q5" s="161">
        <v>4082808</v>
      </c>
      <c r="R5" s="161">
        <v>5006384</v>
      </c>
      <c r="S5" s="161">
        <v>0</v>
      </c>
      <c r="T5" s="161">
        <v>0</v>
      </c>
      <c r="U5" s="161">
        <v>0</v>
      </c>
      <c r="V5" s="161">
        <v>0</v>
      </c>
      <c r="W5" s="161">
        <v>0</v>
      </c>
      <c r="X5" s="273" t="b">
        <f t="shared" si="0"/>
        <v>1</v>
      </c>
      <c r="Y5" s="275">
        <f t="shared" si="1"/>
        <v>0.65</v>
      </c>
      <c r="Z5" s="276" t="b">
        <f t="shared" si="2"/>
        <v>1</v>
      </c>
      <c r="AA5" s="276" t="b">
        <f t="shared" si="3"/>
        <v>1</v>
      </c>
      <c r="AB5" s="213"/>
    </row>
    <row r="6" spans="1:28" s="176" customFormat="1" ht="24">
      <c r="A6" s="156">
        <v>4</v>
      </c>
      <c r="B6" s="156" t="s">
        <v>112</v>
      </c>
      <c r="C6" s="157" t="s">
        <v>48</v>
      </c>
      <c r="D6" s="158" t="s">
        <v>62</v>
      </c>
      <c r="E6" s="158">
        <v>1804</v>
      </c>
      <c r="F6" s="152" t="s">
        <v>113</v>
      </c>
      <c r="G6" s="156" t="s">
        <v>50</v>
      </c>
      <c r="H6" s="227">
        <v>7.938</v>
      </c>
      <c r="I6" s="159" t="s">
        <v>114</v>
      </c>
      <c r="J6" s="155">
        <v>9374431.25</v>
      </c>
      <c r="K6" s="155">
        <v>6093380</v>
      </c>
      <c r="L6" s="161">
        <v>3281051.25</v>
      </c>
      <c r="M6" s="160">
        <v>0.65</v>
      </c>
      <c r="N6" s="155">
        <v>0</v>
      </c>
      <c r="O6" s="155">
        <v>0</v>
      </c>
      <c r="P6" s="161">
        <v>14566</v>
      </c>
      <c r="Q6" s="161">
        <v>3875832</v>
      </c>
      <c r="R6" s="161">
        <v>2202982</v>
      </c>
      <c r="S6" s="161">
        <v>0</v>
      </c>
      <c r="T6" s="161">
        <v>0</v>
      </c>
      <c r="U6" s="161">
        <v>0</v>
      </c>
      <c r="V6" s="161">
        <v>0</v>
      </c>
      <c r="W6" s="161">
        <v>0</v>
      </c>
      <c r="X6" s="273" t="b">
        <f t="shared" si="0"/>
        <v>1</v>
      </c>
      <c r="Y6" s="275">
        <f t="shared" si="1"/>
        <v>0.65</v>
      </c>
      <c r="Z6" s="276" t="b">
        <f t="shared" si="2"/>
        <v>1</v>
      </c>
      <c r="AA6" s="276" t="b">
        <f t="shared" si="3"/>
        <v>1</v>
      </c>
      <c r="AB6" s="213"/>
    </row>
    <row r="7" spans="1:27" s="176" customFormat="1" ht="24">
      <c r="A7" s="156">
        <v>5</v>
      </c>
      <c r="B7" s="156" t="s">
        <v>115</v>
      </c>
      <c r="C7" s="157" t="s">
        <v>48</v>
      </c>
      <c r="D7" s="158" t="s">
        <v>67</v>
      </c>
      <c r="E7" s="158">
        <v>1802</v>
      </c>
      <c r="F7" s="152" t="s">
        <v>116</v>
      </c>
      <c r="G7" s="156" t="s">
        <v>50</v>
      </c>
      <c r="H7" s="227">
        <v>1.2</v>
      </c>
      <c r="I7" s="159" t="s">
        <v>200</v>
      </c>
      <c r="J7" s="155">
        <v>1482167.75</v>
      </c>
      <c r="K7" s="155">
        <v>889300</v>
      </c>
      <c r="L7" s="161">
        <v>592867.75</v>
      </c>
      <c r="M7" s="160">
        <v>0.6</v>
      </c>
      <c r="N7" s="155">
        <v>0</v>
      </c>
      <c r="O7" s="155">
        <v>0</v>
      </c>
      <c r="P7" s="161">
        <v>0</v>
      </c>
      <c r="Q7" s="161">
        <v>889300</v>
      </c>
      <c r="R7" s="161">
        <v>0</v>
      </c>
      <c r="S7" s="161">
        <v>0</v>
      </c>
      <c r="T7" s="161">
        <v>0</v>
      </c>
      <c r="U7" s="161">
        <v>0</v>
      </c>
      <c r="V7" s="161">
        <v>0</v>
      </c>
      <c r="W7" s="161">
        <v>0</v>
      </c>
      <c r="X7" s="273" t="b">
        <f t="shared" si="0"/>
        <v>1</v>
      </c>
      <c r="Y7" s="275">
        <f t="shared" si="1"/>
        <v>0.6</v>
      </c>
      <c r="Z7" s="276" t="b">
        <f t="shared" si="2"/>
        <v>1</v>
      </c>
      <c r="AA7" s="276" t="b">
        <f t="shared" si="3"/>
        <v>1</v>
      </c>
    </row>
    <row r="8" spans="1:28" s="176" customFormat="1" ht="30.75" customHeight="1">
      <c r="A8" s="156">
        <v>6</v>
      </c>
      <c r="B8" s="156" t="s">
        <v>117</v>
      </c>
      <c r="C8" s="157" t="s">
        <v>48</v>
      </c>
      <c r="D8" s="158" t="s">
        <v>66</v>
      </c>
      <c r="E8" s="158">
        <v>1801</v>
      </c>
      <c r="F8" s="152" t="s">
        <v>118</v>
      </c>
      <c r="G8" s="156" t="s">
        <v>50</v>
      </c>
      <c r="H8" s="227">
        <v>6.505</v>
      </c>
      <c r="I8" s="159" t="s">
        <v>201</v>
      </c>
      <c r="J8" s="155">
        <v>5159869.75</v>
      </c>
      <c r="K8" s="155">
        <v>3095921</v>
      </c>
      <c r="L8" s="161">
        <v>2063948.75</v>
      </c>
      <c r="M8" s="160">
        <v>0.6</v>
      </c>
      <c r="N8" s="155">
        <v>0</v>
      </c>
      <c r="O8" s="155">
        <v>0</v>
      </c>
      <c r="P8" s="161">
        <v>1160970</v>
      </c>
      <c r="Q8" s="161">
        <v>1412978</v>
      </c>
      <c r="R8" s="161">
        <v>521973</v>
      </c>
      <c r="S8" s="161">
        <v>0</v>
      </c>
      <c r="T8" s="161">
        <v>0</v>
      </c>
      <c r="U8" s="161">
        <v>0</v>
      </c>
      <c r="V8" s="161">
        <v>0</v>
      </c>
      <c r="W8" s="161">
        <v>0</v>
      </c>
      <c r="X8" s="273" t="b">
        <f t="shared" si="0"/>
        <v>1</v>
      </c>
      <c r="Y8" s="275">
        <f t="shared" si="1"/>
        <v>0.6</v>
      </c>
      <c r="Z8" s="276" t="b">
        <f t="shared" si="2"/>
        <v>1</v>
      </c>
      <c r="AA8" s="276" t="b">
        <f t="shared" si="3"/>
        <v>1</v>
      </c>
      <c r="AB8" s="213"/>
    </row>
    <row r="9" spans="1:27" s="176" customFormat="1" ht="24">
      <c r="A9" s="156">
        <v>7</v>
      </c>
      <c r="B9" s="156" t="s">
        <v>120</v>
      </c>
      <c r="C9" s="157" t="s">
        <v>48</v>
      </c>
      <c r="D9" s="158" t="s">
        <v>121</v>
      </c>
      <c r="E9" s="158">
        <v>1816</v>
      </c>
      <c r="F9" s="152" t="s">
        <v>122</v>
      </c>
      <c r="G9" s="156" t="s">
        <v>51</v>
      </c>
      <c r="H9" s="227">
        <v>5.466</v>
      </c>
      <c r="I9" s="159" t="s">
        <v>123</v>
      </c>
      <c r="J9" s="155">
        <v>61811113</v>
      </c>
      <c r="K9" s="155">
        <v>30000000</v>
      </c>
      <c r="L9" s="161">
        <v>31811113</v>
      </c>
      <c r="M9" s="160">
        <v>0.7</v>
      </c>
      <c r="N9" s="155">
        <v>0</v>
      </c>
      <c r="O9" s="155">
        <v>0</v>
      </c>
      <c r="P9" s="161">
        <v>0</v>
      </c>
      <c r="Q9" s="161">
        <v>0</v>
      </c>
      <c r="R9" s="161">
        <v>0</v>
      </c>
      <c r="S9" s="161">
        <v>0</v>
      </c>
      <c r="T9" s="161">
        <v>30000000</v>
      </c>
      <c r="U9" s="161">
        <v>0</v>
      </c>
      <c r="V9" s="161">
        <v>0</v>
      </c>
      <c r="W9" s="161">
        <v>0</v>
      </c>
      <c r="X9" s="273" t="b">
        <f t="shared" si="0"/>
        <v>1</v>
      </c>
      <c r="Y9" s="275">
        <f t="shared" si="1"/>
        <v>0.4853</v>
      </c>
      <c r="Z9" s="276" t="b">
        <f t="shared" si="2"/>
        <v>0</v>
      </c>
      <c r="AA9" s="276" t="b">
        <f t="shared" si="3"/>
        <v>1</v>
      </c>
    </row>
    <row r="10" spans="1:28" s="176" customFormat="1" ht="48">
      <c r="A10" s="156">
        <v>8</v>
      </c>
      <c r="B10" s="156" t="s">
        <v>124</v>
      </c>
      <c r="C10" s="157" t="s">
        <v>48</v>
      </c>
      <c r="D10" s="158" t="s">
        <v>99</v>
      </c>
      <c r="E10" s="158">
        <v>1862011</v>
      </c>
      <c r="F10" s="152" t="s">
        <v>125</v>
      </c>
      <c r="G10" s="156" t="s">
        <v>51</v>
      </c>
      <c r="H10" s="227">
        <v>0.536</v>
      </c>
      <c r="I10" s="159" t="s">
        <v>202</v>
      </c>
      <c r="J10" s="155">
        <v>5656112.94</v>
      </c>
      <c r="K10" s="155">
        <v>2591262</v>
      </c>
      <c r="L10" s="161">
        <v>3064850.9400000004</v>
      </c>
      <c r="M10" s="160">
        <v>0.5</v>
      </c>
      <c r="N10" s="155">
        <v>0</v>
      </c>
      <c r="O10" s="155">
        <v>0</v>
      </c>
      <c r="P10" s="161">
        <v>777379</v>
      </c>
      <c r="Q10" s="161">
        <v>1813883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273" t="b">
        <f t="shared" si="0"/>
        <v>1</v>
      </c>
      <c r="Y10" s="275">
        <f t="shared" si="1"/>
        <v>0.4581</v>
      </c>
      <c r="Z10" s="276" t="b">
        <f t="shared" si="2"/>
        <v>0</v>
      </c>
      <c r="AA10" s="276" t="b">
        <f t="shared" si="3"/>
        <v>1</v>
      </c>
      <c r="AB10" s="213"/>
    </row>
    <row r="11" spans="1:28" s="176" customFormat="1" ht="48">
      <c r="A11" s="156">
        <v>9</v>
      </c>
      <c r="B11" s="156" t="s">
        <v>186</v>
      </c>
      <c r="C11" s="157" t="s">
        <v>48</v>
      </c>
      <c r="D11" s="158" t="s">
        <v>187</v>
      </c>
      <c r="E11" s="158">
        <v>1806</v>
      </c>
      <c r="F11" s="152" t="s">
        <v>188</v>
      </c>
      <c r="G11" s="156" t="s">
        <v>51</v>
      </c>
      <c r="H11" s="227">
        <v>2.553</v>
      </c>
      <c r="I11" s="159" t="s">
        <v>109</v>
      </c>
      <c r="J11" s="155">
        <v>4888095.92</v>
      </c>
      <c r="K11" s="155">
        <v>3421667</v>
      </c>
      <c r="L11" s="161">
        <v>1466428.92</v>
      </c>
      <c r="M11" s="160">
        <v>0.7</v>
      </c>
      <c r="N11" s="155">
        <v>0</v>
      </c>
      <c r="O11" s="155">
        <v>0</v>
      </c>
      <c r="P11" s="161">
        <v>3421667</v>
      </c>
      <c r="Q11" s="161">
        <v>0</v>
      </c>
      <c r="R11" s="161">
        <v>0</v>
      </c>
      <c r="S11" s="161">
        <v>0</v>
      </c>
      <c r="T11" s="161">
        <v>0</v>
      </c>
      <c r="U11" s="161">
        <v>0</v>
      </c>
      <c r="V11" s="161">
        <v>0</v>
      </c>
      <c r="W11" s="161">
        <v>0</v>
      </c>
      <c r="X11" s="273" t="b">
        <f t="shared" si="0"/>
        <v>1</v>
      </c>
      <c r="Y11" s="275">
        <f t="shared" si="1"/>
        <v>0.7</v>
      </c>
      <c r="Z11" s="276" t="b">
        <f t="shared" si="2"/>
        <v>1</v>
      </c>
      <c r="AA11" s="276" t="b">
        <f t="shared" si="3"/>
        <v>1</v>
      </c>
      <c r="AB11" s="213"/>
    </row>
    <row r="12" spans="1:28" s="176" customFormat="1" ht="24">
      <c r="A12" s="156">
        <v>10</v>
      </c>
      <c r="B12" s="156" t="s">
        <v>126</v>
      </c>
      <c r="C12" s="157" t="s">
        <v>48</v>
      </c>
      <c r="D12" s="158" t="s">
        <v>70</v>
      </c>
      <c r="E12" s="158">
        <v>1809</v>
      </c>
      <c r="F12" s="152" t="s">
        <v>127</v>
      </c>
      <c r="G12" s="156" t="s">
        <v>50</v>
      </c>
      <c r="H12" s="227">
        <v>1.7505</v>
      </c>
      <c r="I12" s="159" t="s">
        <v>203</v>
      </c>
      <c r="J12" s="155">
        <v>5288980.34</v>
      </c>
      <c r="K12" s="155">
        <v>3311406.4</v>
      </c>
      <c r="L12" s="161">
        <v>1977573.94</v>
      </c>
      <c r="M12" s="160">
        <v>0.8</v>
      </c>
      <c r="N12" s="155">
        <v>0</v>
      </c>
      <c r="O12" s="155">
        <v>0</v>
      </c>
      <c r="P12" s="161">
        <v>623926.4000000004</v>
      </c>
      <c r="Q12" s="161">
        <v>2687480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273" t="b">
        <f t="shared" si="0"/>
        <v>1</v>
      </c>
      <c r="Y12" s="275">
        <f t="shared" si="1"/>
        <v>0.6261</v>
      </c>
      <c r="Z12" s="276" t="b">
        <f t="shared" si="2"/>
        <v>0</v>
      </c>
      <c r="AA12" s="276" t="b">
        <f t="shared" si="3"/>
        <v>1</v>
      </c>
      <c r="AB12" s="213"/>
    </row>
    <row r="13" spans="1:27" s="277" customFormat="1" ht="36">
      <c r="A13" s="204" t="s">
        <v>430</v>
      </c>
      <c r="B13" s="206" t="s">
        <v>603</v>
      </c>
      <c r="C13" s="205" t="s">
        <v>48</v>
      </c>
      <c r="D13" s="206" t="s">
        <v>68</v>
      </c>
      <c r="E13" s="206">
        <v>1815</v>
      </c>
      <c r="F13" s="207" t="s">
        <v>129</v>
      </c>
      <c r="G13" s="204" t="s">
        <v>50</v>
      </c>
      <c r="H13" s="228">
        <v>3.816</v>
      </c>
      <c r="I13" s="208" t="s">
        <v>130</v>
      </c>
      <c r="J13" s="198">
        <v>10370900</v>
      </c>
      <c r="K13" s="198">
        <v>4667027</v>
      </c>
      <c r="L13" s="199">
        <v>5703873</v>
      </c>
      <c r="M13" s="209">
        <v>0.6</v>
      </c>
      <c r="N13" s="198">
        <v>0</v>
      </c>
      <c r="O13" s="198">
        <v>0</v>
      </c>
      <c r="P13" s="199">
        <v>2996021</v>
      </c>
      <c r="Q13" s="199">
        <v>525658</v>
      </c>
      <c r="R13" s="199">
        <v>1145348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273" t="b">
        <f t="shared" si="0"/>
        <v>1</v>
      </c>
      <c r="Y13" s="275">
        <f t="shared" si="1"/>
        <v>0.45</v>
      </c>
      <c r="Z13" s="276" t="b">
        <f t="shared" si="2"/>
        <v>0</v>
      </c>
      <c r="AA13" s="276" t="b">
        <f t="shared" si="3"/>
        <v>1</v>
      </c>
    </row>
    <row r="14" spans="1:28" s="176" customFormat="1" ht="36">
      <c r="A14" s="156">
        <v>12</v>
      </c>
      <c r="B14" s="156" t="s">
        <v>204</v>
      </c>
      <c r="C14" s="157" t="s">
        <v>57</v>
      </c>
      <c r="D14" s="158" t="s">
        <v>49</v>
      </c>
      <c r="E14" s="158">
        <v>1817000</v>
      </c>
      <c r="F14" s="152" t="s">
        <v>205</v>
      </c>
      <c r="G14" s="156" t="s">
        <v>50</v>
      </c>
      <c r="H14" s="227">
        <v>4.295</v>
      </c>
      <c r="I14" s="159" t="s">
        <v>206</v>
      </c>
      <c r="J14" s="155">
        <v>24239514.73</v>
      </c>
      <c r="K14" s="155">
        <v>14543708</v>
      </c>
      <c r="L14" s="161">
        <v>9695806.73</v>
      </c>
      <c r="M14" s="160">
        <v>0.6</v>
      </c>
      <c r="N14" s="155">
        <v>0</v>
      </c>
      <c r="O14" s="155">
        <v>0</v>
      </c>
      <c r="P14" s="155">
        <v>0</v>
      </c>
      <c r="Q14" s="161">
        <v>7271854</v>
      </c>
      <c r="R14" s="161">
        <v>7271854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273" t="b">
        <f t="shared" si="0"/>
        <v>1</v>
      </c>
      <c r="Y14" s="275">
        <f t="shared" si="1"/>
        <v>0.6</v>
      </c>
      <c r="Z14" s="276" t="b">
        <f t="shared" si="2"/>
        <v>1</v>
      </c>
      <c r="AA14" s="276" t="b">
        <f t="shared" si="3"/>
        <v>1</v>
      </c>
      <c r="AB14" s="213"/>
    </row>
    <row r="15" spans="1:27" s="213" customFormat="1" ht="24">
      <c r="A15" s="146">
        <v>13</v>
      </c>
      <c r="B15" s="146" t="s">
        <v>207</v>
      </c>
      <c r="C15" s="147" t="s">
        <v>56</v>
      </c>
      <c r="D15" s="148" t="s">
        <v>63</v>
      </c>
      <c r="E15" s="148">
        <v>1810000</v>
      </c>
      <c r="F15" s="41" t="s">
        <v>208</v>
      </c>
      <c r="G15" s="146" t="s">
        <v>51</v>
      </c>
      <c r="H15" s="229">
        <v>3.0715</v>
      </c>
      <c r="I15" s="149" t="s">
        <v>209</v>
      </c>
      <c r="J15" s="163">
        <v>10067489.24</v>
      </c>
      <c r="K15" s="163">
        <v>5033744</v>
      </c>
      <c r="L15" s="164">
        <v>5033745.24</v>
      </c>
      <c r="M15" s="150">
        <v>0.5</v>
      </c>
      <c r="N15" s="163">
        <v>0</v>
      </c>
      <c r="O15" s="163">
        <v>0</v>
      </c>
      <c r="P15" s="163">
        <v>0</v>
      </c>
      <c r="Q15" s="164">
        <v>5033744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273" t="b">
        <f t="shared" si="0"/>
        <v>1</v>
      </c>
      <c r="Y15" s="275">
        <f t="shared" si="1"/>
        <v>0.5</v>
      </c>
      <c r="Z15" s="276" t="b">
        <f t="shared" si="2"/>
        <v>1</v>
      </c>
      <c r="AA15" s="276" t="b">
        <f t="shared" si="3"/>
        <v>1</v>
      </c>
    </row>
    <row r="16" spans="1:27" s="213" customFormat="1" ht="24">
      <c r="A16" s="146" t="s">
        <v>609</v>
      </c>
      <c r="B16" s="146" t="s">
        <v>210</v>
      </c>
      <c r="C16" s="147" t="s">
        <v>56</v>
      </c>
      <c r="D16" s="148" t="s">
        <v>55</v>
      </c>
      <c r="E16" s="148">
        <v>1812000</v>
      </c>
      <c r="F16" s="41" t="s">
        <v>211</v>
      </c>
      <c r="G16" s="146" t="s">
        <v>50</v>
      </c>
      <c r="H16" s="229">
        <v>10.667</v>
      </c>
      <c r="I16" s="149" t="s">
        <v>212</v>
      </c>
      <c r="J16" s="163">
        <v>22003896.09</v>
      </c>
      <c r="K16" s="163">
        <v>7800000</v>
      </c>
      <c r="L16" s="164">
        <f>J16-K16</f>
        <v>14203896.09</v>
      </c>
      <c r="M16" s="150">
        <v>0.5</v>
      </c>
      <c r="N16" s="163">
        <v>0</v>
      </c>
      <c r="O16" s="163">
        <v>0</v>
      </c>
      <c r="P16" s="163">
        <v>0</v>
      </c>
      <c r="Q16" s="164">
        <f>K16</f>
        <v>7800000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273" t="b">
        <f t="shared" si="0"/>
        <v>1</v>
      </c>
      <c r="Y16" s="275">
        <f t="shared" si="1"/>
        <v>0.3545</v>
      </c>
      <c r="Z16" s="276" t="b">
        <f t="shared" si="2"/>
        <v>0</v>
      </c>
      <c r="AA16" s="276" t="b">
        <f t="shared" si="3"/>
        <v>1</v>
      </c>
    </row>
    <row r="17" spans="1:27" s="213" customFormat="1" ht="24">
      <c r="A17" s="146">
        <v>15</v>
      </c>
      <c r="B17" s="146" t="s">
        <v>213</v>
      </c>
      <c r="C17" s="147" t="s">
        <v>56</v>
      </c>
      <c r="D17" s="148" t="s">
        <v>61</v>
      </c>
      <c r="E17" s="148">
        <v>1807000</v>
      </c>
      <c r="F17" s="41" t="s">
        <v>214</v>
      </c>
      <c r="G17" s="146" t="s">
        <v>50</v>
      </c>
      <c r="H17" s="229">
        <v>2.5642</v>
      </c>
      <c r="I17" s="149" t="s">
        <v>215</v>
      </c>
      <c r="J17" s="163">
        <v>3839054.13</v>
      </c>
      <c r="K17" s="163">
        <v>2303432</v>
      </c>
      <c r="L17" s="164">
        <v>1535622.13</v>
      </c>
      <c r="M17" s="150">
        <v>0.6</v>
      </c>
      <c r="N17" s="163">
        <v>0</v>
      </c>
      <c r="O17" s="163">
        <v>0</v>
      </c>
      <c r="P17" s="163">
        <v>0</v>
      </c>
      <c r="Q17" s="164">
        <v>2303432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273" t="b">
        <f t="shared" si="0"/>
        <v>1</v>
      </c>
      <c r="Y17" s="275">
        <f t="shared" si="1"/>
        <v>0.6</v>
      </c>
      <c r="Z17" s="276" t="b">
        <f t="shared" si="2"/>
        <v>1</v>
      </c>
      <c r="AA17" s="276" t="b">
        <f t="shared" si="3"/>
        <v>1</v>
      </c>
    </row>
    <row r="18" spans="1:27" s="213" customFormat="1" ht="24">
      <c r="A18" s="146">
        <v>16</v>
      </c>
      <c r="B18" s="146" t="s">
        <v>216</v>
      </c>
      <c r="C18" s="147" t="s">
        <v>56</v>
      </c>
      <c r="D18" s="148" t="s">
        <v>217</v>
      </c>
      <c r="E18" s="148">
        <v>1821000</v>
      </c>
      <c r="F18" s="41" t="s">
        <v>218</v>
      </c>
      <c r="G18" s="146" t="s">
        <v>50</v>
      </c>
      <c r="H18" s="229">
        <v>0.46</v>
      </c>
      <c r="I18" s="149" t="s">
        <v>219</v>
      </c>
      <c r="J18" s="163">
        <v>1380491.35</v>
      </c>
      <c r="K18" s="163">
        <v>690245</v>
      </c>
      <c r="L18" s="164">
        <v>690246.3500000001</v>
      </c>
      <c r="M18" s="150">
        <v>0.5</v>
      </c>
      <c r="N18" s="163">
        <v>0</v>
      </c>
      <c r="O18" s="163">
        <v>0</v>
      </c>
      <c r="P18" s="163">
        <v>0</v>
      </c>
      <c r="Q18" s="164">
        <v>690245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273" t="b">
        <f t="shared" si="0"/>
        <v>1</v>
      </c>
      <c r="Y18" s="275">
        <f t="shared" si="1"/>
        <v>0.5</v>
      </c>
      <c r="Z18" s="276" t="b">
        <f t="shared" si="2"/>
        <v>1</v>
      </c>
      <c r="AA18" s="276" t="b">
        <f t="shared" si="3"/>
        <v>1</v>
      </c>
    </row>
    <row r="19" spans="1:27" s="176" customFormat="1" ht="24">
      <c r="A19" s="156">
        <v>17</v>
      </c>
      <c r="B19" s="156" t="s">
        <v>220</v>
      </c>
      <c r="C19" s="157" t="s">
        <v>57</v>
      </c>
      <c r="D19" s="158" t="s">
        <v>189</v>
      </c>
      <c r="E19" s="158">
        <v>1814000</v>
      </c>
      <c r="F19" s="152" t="s">
        <v>221</v>
      </c>
      <c r="G19" s="156" t="s">
        <v>50</v>
      </c>
      <c r="H19" s="227">
        <v>7.02</v>
      </c>
      <c r="I19" s="159" t="s">
        <v>222</v>
      </c>
      <c r="J19" s="155">
        <v>19372642.98</v>
      </c>
      <c r="K19" s="155">
        <v>9686321</v>
      </c>
      <c r="L19" s="161">
        <v>9686321.98</v>
      </c>
      <c r="M19" s="160">
        <v>0.5</v>
      </c>
      <c r="N19" s="155">
        <v>0</v>
      </c>
      <c r="O19" s="155">
        <v>0</v>
      </c>
      <c r="P19" s="155">
        <v>0</v>
      </c>
      <c r="Q19" s="161">
        <v>4804317</v>
      </c>
      <c r="R19" s="161">
        <v>4882004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273" t="b">
        <f t="shared" si="0"/>
        <v>1</v>
      </c>
      <c r="Y19" s="275">
        <f t="shared" si="1"/>
        <v>0.5</v>
      </c>
      <c r="Z19" s="276" t="b">
        <f t="shared" si="2"/>
        <v>1</v>
      </c>
      <c r="AA19" s="276" t="b">
        <f t="shared" si="3"/>
        <v>1</v>
      </c>
    </row>
    <row r="20" spans="1:27" s="176" customFormat="1" ht="24">
      <c r="A20" s="156">
        <v>18</v>
      </c>
      <c r="B20" s="156" t="s">
        <v>223</v>
      </c>
      <c r="C20" s="157" t="s">
        <v>57</v>
      </c>
      <c r="D20" s="158" t="s">
        <v>64</v>
      </c>
      <c r="E20" s="158">
        <v>1808000</v>
      </c>
      <c r="F20" s="152" t="s">
        <v>224</v>
      </c>
      <c r="G20" s="156" t="s">
        <v>50</v>
      </c>
      <c r="H20" s="227">
        <v>3.79</v>
      </c>
      <c r="I20" s="159" t="s">
        <v>225</v>
      </c>
      <c r="J20" s="155">
        <v>14652588.26</v>
      </c>
      <c r="K20" s="155">
        <v>7326294</v>
      </c>
      <c r="L20" s="161">
        <v>7326294.26</v>
      </c>
      <c r="M20" s="160">
        <v>0.5</v>
      </c>
      <c r="N20" s="155">
        <v>0</v>
      </c>
      <c r="O20" s="155">
        <v>0</v>
      </c>
      <c r="P20" s="155">
        <v>0</v>
      </c>
      <c r="Q20" s="161">
        <v>3663147</v>
      </c>
      <c r="R20" s="161">
        <v>3663147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273" t="b">
        <f t="shared" si="0"/>
        <v>1</v>
      </c>
      <c r="Y20" s="275">
        <f t="shared" si="1"/>
        <v>0.5</v>
      </c>
      <c r="Z20" s="276" t="b">
        <f t="shared" si="2"/>
        <v>1</v>
      </c>
      <c r="AA20" s="276" t="b">
        <f t="shared" si="3"/>
        <v>1</v>
      </c>
    </row>
    <row r="21" spans="1:27" s="213" customFormat="1" ht="24">
      <c r="A21" s="146">
        <v>19</v>
      </c>
      <c r="B21" s="146" t="s">
        <v>226</v>
      </c>
      <c r="C21" s="147" t="s">
        <v>56</v>
      </c>
      <c r="D21" s="148" t="s">
        <v>70</v>
      </c>
      <c r="E21" s="148">
        <v>1809000</v>
      </c>
      <c r="F21" s="41" t="s">
        <v>227</v>
      </c>
      <c r="G21" s="146" t="s">
        <v>50</v>
      </c>
      <c r="H21" s="229">
        <v>3.178</v>
      </c>
      <c r="I21" s="149" t="s">
        <v>219</v>
      </c>
      <c r="J21" s="163">
        <v>5720000</v>
      </c>
      <c r="K21" s="163">
        <f>INT(4004000)</f>
        <v>4004000</v>
      </c>
      <c r="L21" s="164">
        <f>INT(J21-K21)</f>
        <v>1716000</v>
      </c>
      <c r="M21" s="150">
        <v>0.7</v>
      </c>
      <c r="N21" s="163">
        <v>0</v>
      </c>
      <c r="O21" s="163">
        <v>0</v>
      </c>
      <c r="P21" s="163">
        <v>0</v>
      </c>
      <c r="Q21" s="164">
        <f>K21</f>
        <v>4004000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273" t="b">
        <f t="shared" si="0"/>
        <v>1</v>
      </c>
      <c r="Y21" s="275">
        <f t="shared" si="1"/>
        <v>0.7</v>
      </c>
      <c r="Z21" s="276" t="b">
        <f t="shared" si="2"/>
        <v>1</v>
      </c>
      <c r="AA21" s="276" t="b">
        <f t="shared" si="3"/>
        <v>1</v>
      </c>
    </row>
    <row r="22" spans="1:27" s="213" customFormat="1" ht="24">
      <c r="A22" s="146">
        <v>20</v>
      </c>
      <c r="B22" s="146" t="s">
        <v>228</v>
      </c>
      <c r="C22" s="147" t="s">
        <v>56</v>
      </c>
      <c r="D22" s="148" t="s">
        <v>49</v>
      </c>
      <c r="E22" s="148">
        <v>1817000</v>
      </c>
      <c r="F22" s="41" t="s">
        <v>229</v>
      </c>
      <c r="G22" s="146" t="s">
        <v>50</v>
      </c>
      <c r="H22" s="229">
        <v>2.636</v>
      </c>
      <c r="I22" s="149" t="s">
        <v>230</v>
      </c>
      <c r="J22" s="163">
        <v>6425765.53</v>
      </c>
      <c r="K22" s="163">
        <v>3855459</v>
      </c>
      <c r="L22" s="164">
        <v>2570306.5300000003</v>
      </c>
      <c r="M22" s="150">
        <v>0.6</v>
      </c>
      <c r="N22" s="163">
        <v>0</v>
      </c>
      <c r="O22" s="163">
        <v>0</v>
      </c>
      <c r="P22" s="163">
        <v>0</v>
      </c>
      <c r="Q22" s="164">
        <v>3855459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273" t="b">
        <f t="shared" si="0"/>
        <v>1</v>
      </c>
      <c r="Y22" s="275">
        <f t="shared" si="1"/>
        <v>0.6</v>
      </c>
      <c r="Z22" s="276" t="b">
        <f t="shared" si="2"/>
        <v>1</v>
      </c>
      <c r="AA22" s="276" t="b">
        <f t="shared" si="3"/>
        <v>1</v>
      </c>
    </row>
    <row r="23" spans="1:27" s="213" customFormat="1" ht="60">
      <c r="A23" s="146">
        <v>21</v>
      </c>
      <c r="B23" s="146" t="s">
        <v>231</v>
      </c>
      <c r="C23" s="147" t="s">
        <v>56</v>
      </c>
      <c r="D23" s="148" t="s">
        <v>121</v>
      </c>
      <c r="E23" s="148">
        <v>1816000</v>
      </c>
      <c r="F23" s="41" t="s">
        <v>232</v>
      </c>
      <c r="G23" s="146" t="s">
        <v>51</v>
      </c>
      <c r="H23" s="229">
        <v>0.156</v>
      </c>
      <c r="I23" s="149" t="s">
        <v>209</v>
      </c>
      <c r="J23" s="163">
        <v>5000000</v>
      </c>
      <c r="K23" s="163">
        <v>3000000</v>
      </c>
      <c r="L23" s="164">
        <v>2000000</v>
      </c>
      <c r="M23" s="150">
        <v>0.6</v>
      </c>
      <c r="N23" s="163">
        <v>0</v>
      </c>
      <c r="O23" s="163">
        <v>0</v>
      </c>
      <c r="P23" s="163">
        <v>0</v>
      </c>
      <c r="Q23" s="164">
        <v>3000000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  <c r="X23" s="273" t="b">
        <f t="shared" si="0"/>
        <v>1</v>
      </c>
      <c r="Y23" s="275">
        <f t="shared" si="1"/>
        <v>0.6</v>
      </c>
      <c r="Z23" s="276" t="b">
        <f t="shared" si="2"/>
        <v>1</v>
      </c>
      <c r="AA23" s="276" t="b">
        <f t="shared" si="3"/>
        <v>1</v>
      </c>
    </row>
    <row r="24" spans="1:27" s="176" customFormat="1" ht="24">
      <c r="A24" s="156">
        <v>22</v>
      </c>
      <c r="B24" s="156" t="s">
        <v>233</v>
      </c>
      <c r="C24" s="157" t="s">
        <v>57</v>
      </c>
      <c r="D24" s="158" t="s">
        <v>58</v>
      </c>
      <c r="E24" s="158">
        <v>1818000</v>
      </c>
      <c r="F24" s="152" t="s">
        <v>234</v>
      </c>
      <c r="G24" s="156" t="s">
        <v>50</v>
      </c>
      <c r="H24" s="227">
        <v>1.64632</v>
      </c>
      <c r="I24" s="159" t="s">
        <v>235</v>
      </c>
      <c r="J24" s="155">
        <v>6455459</v>
      </c>
      <c r="K24" s="155">
        <v>3873275</v>
      </c>
      <c r="L24" s="161">
        <v>2582184</v>
      </c>
      <c r="M24" s="160">
        <v>0.6</v>
      </c>
      <c r="N24" s="155">
        <v>0</v>
      </c>
      <c r="O24" s="155">
        <v>0</v>
      </c>
      <c r="P24" s="155">
        <v>0</v>
      </c>
      <c r="Q24" s="161">
        <v>2100000</v>
      </c>
      <c r="R24" s="161">
        <v>1773275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273" t="b">
        <f t="shared" si="0"/>
        <v>1</v>
      </c>
      <c r="Y24" s="275">
        <f t="shared" si="1"/>
        <v>0.6</v>
      </c>
      <c r="Z24" s="276" t="b">
        <f t="shared" si="2"/>
        <v>1</v>
      </c>
      <c r="AA24" s="276" t="b">
        <f t="shared" si="3"/>
        <v>1</v>
      </c>
    </row>
    <row r="25" spans="1:27" s="213" customFormat="1" ht="24">
      <c r="A25" s="146">
        <v>23</v>
      </c>
      <c r="B25" s="146" t="s">
        <v>236</v>
      </c>
      <c r="C25" s="147" t="s">
        <v>56</v>
      </c>
      <c r="D25" s="148" t="s">
        <v>59</v>
      </c>
      <c r="E25" s="148">
        <v>1803000</v>
      </c>
      <c r="F25" s="41" t="s">
        <v>237</v>
      </c>
      <c r="G25" s="146" t="s">
        <v>50</v>
      </c>
      <c r="H25" s="229">
        <v>2.595</v>
      </c>
      <c r="I25" s="149" t="s">
        <v>238</v>
      </c>
      <c r="J25" s="163">
        <v>5783669.85</v>
      </c>
      <c r="K25" s="163">
        <v>3470201</v>
      </c>
      <c r="L25" s="164">
        <v>2313468.8499999996</v>
      </c>
      <c r="M25" s="150">
        <v>0.6</v>
      </c>
      <c r="N25" s="163">
        <v>0</v>
      </c>
      <c r="O25" s="163">
        <v>0</v>
      </c>
      <c r="P25" s="163">
        <v>0</v>
      </c>
      <c r="Q25" s="164">
        <v>3470201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0</v>
      </c>
      <c r="X25" s="273" t="b">
        <f t="shared" si="0"/>
        <v>1</v>
      </c>
      <c r="Y25" s="275">
        <f t="shared" si="1"/>
        <v>0.6</v>
      </c>
      <c r="Z25" s="276" t="b">
        <f t="shared" si="2"/>
        <v>1</v>
      </c>
      <c r="AA25" s="276" t="b">
        <f t="shared" si="3"/>
        <v>1</v>
      </c>
    </row>
    <row r="26" spans="1:27" s="277" customFormat="1" ht="36">
      <c r="A26" s="204" t="s">
        <v>601</v>
      </c>
      <c r="B26" s="204" t="s">
        <v>239</v>
      </c>
      <c r="C26" s="205" t="s">
        <v>57</v>
      </c>
      <c r="D26" s="206" t="s">
        <v>62</v>
      </c>
      <c r="E26" s="206">
        <v>1804000</v>
      </c>
      <c r="F26" s="207" t="s">
        <v>240</v>
      </c>
      <c r="G26" s="204" t="s">
        <v>50</v>
      </c>
      <c r="H26" s="228">
        <v>12.05668</v>
      </c>
      <c r="I26" s="208" t="s">
        <v>241</v>
      </c>
      <c r="J26" s="198">
        <v>17081583.9</v>
      </c>
      <c r="K26" s="198">
        <v>7498181.049999997</v>
      </c>
      <c r="L26" s="199">
        <v>9583402.850000003</v>
      </c>
      <c r="M26" s="209">
        <v>0.5</v>
      </c>
      <c r="N26" s="198">
        <v>0</v>
      </c>
      <c r="O26" s="198">
        <v>0</v>
      </c>
      <c r="P26" s="198">
        <v>0</v>
      </c>
      <c r="Q26" s="199">
        <v>6405594</v>
      </c>
      <c r="R26" s="199">
        <v>1092587.049999997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273" t="b">
        <f t="shared" si="0"/>
        <v>1</v>
      </c>
      <c r="Y26" s="275">
        <f t="shared" si="1"/>
        <v>0.439</v>
      </c>
      <c r="Z26" s="276" t="b">
        <f t="shared" si="2"/>
        <v>0</v>
      </c>
      <c r="AA26" s="276" t="b">
        <f t="shared" si="3"/>
        <v>1</v>
      </c>
    </row>
    <row r="27" spans="1:27" s="277" customFormat="1" ht="24">
      <c r="A27" s="204" t="s">
        <v>602</v>
      </c>
      <c r="B27" s="204" t="s">
        <v>242</v>
      </c>
      <c r="C27" s="205" t="s">
        <v>57</v>
      </c>
      <c r="D27" s="206" t="s">
        <v>66</v>
      </c>
      <c r="E27" s="206">
        <v>1801000</v>
      </c>
      <c r="F27" s="207" t="s">
        <v>243</v>
      </c>
      <c r="G27" s="204" t="s">
        <v>50</v>
      </c>
      <c r="H27" s="228">
        <v>5.115</v>
      </c>
      <c r="I27" s="208" t="s">
        <v>244</v>
      </c>
      <c r="J27" s="198">
        <v>6713914.52</v>
      </c>
      <c r="K27" s="198">
        <v>2856957</v>
      </c>
      <c r="L27" s="199">
        <v>3856957.52</v>
      </c>
      <c r="M27" s="209">
        <v>0.5</v>
      </c>
      <c r="N27" s="198">
        <v>0</v>
      </c>
      <c r="O27" s="198">
        <v>0</v>
      </c>
      <c r="P27" s="198">
        <v>0</v>
      </c>
      <c r="Q27" s="199">
        <v>250000</v>
      </c>
      <c r="R27" s="199">
        <v>0</v>
      </c>
      <c r="S27" s="199">
        <v>750000</v>
      </c>
      <c r="T27" s="199">
        <v>1000000</v>
      </c>
      <c r="U27" s="199">
        <v>856957</v>
      </c>
      <c r="V27" s="199">
        <v>0</v>
      </c>
      <c r="W27" s="199">
        <v>0</v>
      </c>
      <c r="X27" s="273" t="b">
        <f t="shared" si="0"/>
        <v>1</v>
      </c>
      <c r="Y27" s="275">
        <f t="shared" si="1"/>
        <v>0.4255</v>
      </c>
      <c r="Z27" s="276" t="b">
        <f t="shared" si="2"/>
        <v>0</v>
      </c>
      <c r="AA27" s="276" t="b">
        <f t="shared" si="3"/>
        <v>1</v>
      </c>
    </row>
    <row r="28" spans="1:27" s="213" customFormat="1" ht="84">
      <c r="A28" s="146">
        <v>26</v>
      </c>
      <c r="B28" s="146" t="s">
        <v>245</v>
      </c>
      <c r="C28" s="147" t="s">
        <v>56</v>
      </c>
      <c r="D28" s="148" t="s">
        <v>187</v>
      </c>
      <c r="E28" s="148">
        <v>1806000</v>
      </c>
      <c r="F28" s="41" t="s">
        <v>246</v>
      </c>
      <c r="G28" s="146" t="s">
        <v>50</v>
      </c>
      <c r="H28" s="229">
        <v>1.374</v>
      </c>
      <c r="I28" s="149" t="s">
        <v>247</v>
      </c>
      <c r="J28" s="163">
        <v>1583725.12</v>
      </c>
      <c r="K28" s="163">
        <v>950235</v>
      </c>
      <c r="L28" s="164">
        <v>633490.1200000001</v>
      </c>
      <c r="M28" s="150">
        <v>0.6</v>
      </c>
      <c r="N28" s="163">
        <v>0</v>
      </c>
      <c r="O28" s="163">
        <v>0</v>
      </c>
      <c r="P28" s="163">
        <v>0</v>
      </c>
      <c r="Q28" s="164">
        <v>950235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273" t="b">
        <f t="shared" si="0"/>
        <v>1</v>
      </c>
      <c r="Y28" s="275">
        <f t="shared" si="1"/>
        <v>0.6</v>
      </c>
      <c r="Z28" s="276" t="b">
        <f t="shared" si="2"/>
        <v>1</v>
      </c>
      <c r="AA28" s="276" t="b">
        <f t="shared" si="3"/>
        <v>1</v>
      </c>
    </row>
    <row r="29" spans="1:27" s="213" customFormat="1" ht="36">
      <c r="A29" s="146">
        <v>27</v>
      </c>
      <c r="B29" s="146" t="s">
        <v>248</v>
      </c>
      <c r="C29" s="147" t="s">
        <v>56</v>
      </c>
      <c r="D29" s="148" t="s">
        <v>60</v>
      </c>
      <c r="E29" s="148">
        <v>1805000</v>
      </c>
      <c r="F29" s="41" t="s">
        <v>249</v>
      </c>
      <c r="G29" s="146" t="s">
        <v>50</v>
      </c>
      <c r="H29" s="229">
        <v>1.39</v>
      </c>
      <c r="I29" s="149" t="s">
        <v>250</v>
      </c>
      <c r="J29" s="163">
        <v>2284475.34</v>
      </c>
      <c r="K29" s="163">
        <v>1370685</v>
      </c>
      <c r="L29" s="164">
        <v>913790.3399999999</v>
      </c>
      <c r="M29" s="150">
        <v>0.6</v>
      </c>
      <c r="N29" s="163">
        <v>0</v>
      </c>
      <c r="O29" s="163">
        <v>0</v>
      </c>
      <c r="P29" s="163">
        <v>0</v>
      </c>
      <c r="Q29" s="164">
        <v>1370685</v>
      </c>
      <c r="R29" s="164">
        <v>0</v>
      </c>
      <c r="S29" s="164">
        <v>0</v>
      </c>
      <c r="T29" s="164">
        <v>0</v>
      </c>
      <c r="U29" s="164">
        <v>0</v>
      </c>
      <c r="V29" s="164">
        <v>0</v>
      </c>
      <c r="W29" s="164">
        <v>0</v>
      </c>
      <c r="X29" s="273" t="b">
        <f t="shared" si="0"/>
        <v>1</v>
      </c>
      <c r="Y29" s="275">
        <f t="shared" si="1"/>
        <v>0.6</v>
      </c>
      <c r="Z29" s="276" t="b">
        <f t="shared" si="2"/>
        <v>1</v>
      </c>
      <c r="AA29" s="276" t="b">
        <f t="shared" si="3"/>
        <v>1</v>
      </c>
    </row>
    <row r="30" spans="1:27" s="213" customFormat="1" ht="24">
      <c r="A30" s="146">
        <v>28</v>
      </c>
      <c r="B30" s="146" t="s">
        <v>251</v>
      </c>
      <c r="C30" s="147" t="s">
        <v>56</v>
      </c>
      <c r="D30" s="148" t="s">
        <v>187</v>
      </c>
      <c r="E30" s="148">
        <v>1806000</v>
      </c>
      <c r="F30" s="41" t="s">
        <v>252</v>
      </c>
      <c r="G30" s="146" t="s">
        <v>51</v>
      </c>
      <c r="H30" s="229">
        <v>1.128</v>
      </c>
      <c r="I30" s="149" t="s">
        <v>212</v>
      </c>
      <c r="J30" s="163">
        <v>3063627.59</v>
      </c>
      <c r="K30" s="163">
        <v>1838176</v>
      </c>
      <c r="L30" s="164">
        <v>1225451.5899999999</v>
      </c>
      <c r="M30" s="150">
        <v>0.6</v>
      </c>
      <c r="N30" s="163">
        <v>0</v>
      </c>
      <c r="O30" s="163">
        <v>0</v>
      </c>
      <c r="P30" s="163">
        <v>0</v>
      </c>
      <c r="Q30" s="164">
        <v>1838176</v>
      </c>
      <c r="R30" s="164">
        <v>0</v>
      </c>
      <c r="S30" s="164">
        <v>0</v>
      </c>
      <c r="T30" s="164">
        <v>0</v>
      </c>
      <c r="U30" s="164">
        <v>0</v>
      </c>
      <c r="V30" s="164">
        <v>0</v>
      </c>
      <c r="W30" s="164">
        <v>0</v>
      </c>
      <c r="X30" s="273" t="b">
        <f t="shared" si="0"/>
        <v>1</v>
      </c>
      <c r="Y30" s="275">
        <f t="shared" si="1"/>
        <v>0.6</v>
      </c>
      <c r="Z30" s="276" t="b">
        <f t="shared" si="2"/>
        <v>1</v>
      </c>
      <c r="AA30" s="276" t="b">
        <f t="shared" si="3"/>
        <v>1</v>
      </c>
    </row>
    <row r="31" spans="1:28" s="37" customFormat="1" ht="28.5" customHeight="1">
      <c r="A31" s="148" t="s">
        <v>633</v>
      </c>
      <c r="B31" s="148" t="s">
        <v>280</v>
      </c>
      <c r="C31" s="148" t="s">
        <v>56</v>
      </c>
      <c r="D31" s="148" t="s">
        <v>70</v>
      </c>
      <c r="E31" s="148">
        <v>1809000</v>
      </c>
      <c r="F31" s="145" t="s">
        <v>281</v>
      </c>
      <c r="G31" s="146" t="s">
        <v>50</v>
      </c>
      <c r="H31" s="229">
        <v>0.7339</v>
      </c>
      <c r="I31" s="149" t="s">
        <v>219</v>
      </c>
      <c r="J31" s="190">
        <v>5673000</v>
      </c>
      <c r="K31" s="191">
        <f>INT(J31*M31)</f>
        <v>3971100</v>
      </c>
      <c r="L31" s="192">
        <f>J31-K31</f>
        <v>1701900</v>
      </c>
      <c r="M31" s="150">
        <v>0.7</v>
      </c>
      <c r="N31" s="191">
        <v>0</v>
      </c>
      <c r="O31" s="191">
        <v>0</v>
      </c>
      <c r="P31" s="192">
        <v>0</v>
      </c>
      <c r="Q31" s="192">
        <f>K31</f>
        <v>3971100</v>
      </c>
      <c r="R31" s="192">
        <v>0</v>
      </c>
      <c r="S31" s="192">
        <v>0</v>
      </c>
      <c r="T31" s="192">
        <v>0</v>
      </c>
      <c r="U31" s="192">
        <v>0</v>
      </c>
      <c r="V31" s="191">
        <v>0</v>
      </c>
      <c r="W31" s="190">
        <v>0</v>
      </c>
      <c r="X31" s="273" t="b">
        <f t="shared" si="0"/>
        <v>1</v>
      </c>
      <c r="Y31" s="275">
        <f t="shared" si="1"/>
        <v>0.7</v>
      </c>
      <c r="Z31" s="276" t="b">
        <f t="shared" si="2"/>
        <v>1</v>
      </c>
      <c r="AA31" s="276" t="b">
        <f t="shared" si="3"/>
        <v>1</v>
      </c>
      <c r="AB31" s="38"/>
    </row>
    <row r="32" spans="1:28" s="37" customFormat="1" ht="24">
      <c r="A32" s="146">
        <v>30</v>
      </c>
      <c r="B32" s="146" t="s">
        <v>256</v>
      </c>
      <c r="C32" s="147" t="s">
        <v>56</v>
      </c>
      <c r="D32" s="148" t="s">
        <v>65</v>
      </c>
      <c r="E32" s="148">
        <v>1820000</v>
      </c>
      <c r="F32" s="145" t="s">
        <v>257</v>
      </c>
      <c r="G32" s="146" t="s">
        <v>51</v>
      </c>
      <c r="H32" s="229">
        <v>0.6347</v>
      </c>
      <c r="I32" s="149" t="s">
        <v>258</v>
      </c>
      <c r="J32" s="190">
        <v>950000</v>
      </c>
      <c r="K32" s="191">
        <f>INT(J32*70%)</f>
        <v>665000</v>
      </c>
      <c r="L32" s="192">
        <f>J32-K32</f>
        <v>285000</v>
      </c>
      <c r="M32" s="150">
        <v>0.7</v>
      </c>
      <c r="N32" s="191">
        <v>0</v>
      </c>
      <c r="O32" s="191">
        <v>0</v>
      </c>
      <c r="P32" s="192">
        <v>0</v>
      </c>
      <c r="Q32" s="192">
        <f>K32</f>
        <v>665000</v>
      </c>
      <c r="R32" s="192">
        <v>0</v>
      </c>
      <c r="S32" s="192">
        <v>0</v>
      </c>
      <c r="T32" s="192">
        <v>0</v>
      </c>
      <c r="U32" s="192">
        <v>0</v>
      </c>
      <c r="V32" s="191">
        <v>0</v>
      </c>
      <c r="W32" s="190">
        <v>0</v>
      </c>
      <c r="X32" s="273" t="b">
        <f t="shared" si="0"/>
        <v>1</v>
      </c>
      <c r="Y32" s="275">
        <f t="shared" si="1"/>
        <v>0.7</v>
      </c>
      <c r="Z32" s="276" t="b">
        <f t="shared" si="2"/>
        <v>1</v>
      </c>
      <c r="AA32" s="276" t="b">
        <f t="shared" si="3"/>
        <v>1</v>
      </c>
      <c r="AB32" s="38"/>
    </row>
    <row r="33" spans="1:28" s="37" customFormat="1" ht="27.75" customHeight="1">
      <c r="A33" s="278">
        <v>31</v>
      </c>
      <c r="B33" s="149" t="s">
        <v>262</v>
      </c>
      <c r="C33" s="149" t="s">
        <v>56</v>
      </c>
      <c r="D33" s="149" t="s">
        <v>263</v>
      </c>
      <c r="E33" s="149">
        <v>1815000</v>
      </c>
      <c r="F33" s="149" t="s">
        <v>264</v>
      </c>
      <c r="G33" s="149" t="s">
        <v>50</v>
      </c>
      <c r="H33" s="149">
        <v>5.07734</v>
      </c>
      <c r="I33" s="149" t="s">
        <v>238</v>
      </c>
      <c r="J33" s="190">
        <v>11953180</v>
      </c>
      <c r="K33" s="191">
        <f>INT(J33*M33)</f>
        <v>7171908</v>
      </c>
      <c r="L33" s="192">
        <f>J33-K33</f>
        <v>4781272</v>
      </c>
      <c r="M33" s="150">
        <v>0.6</v>
      </c>
      <c r="N33" s="191">
        <v>0</v>
      </c>
      <c r="O33" s="191">
        <v>0</v>
      </c>
      <c r="P33" s="192">
        <v>0</v>
      </c>
      <c r="Q33" s="192">
        <f>K33</f>
        <v>7171908</v>
      </c>
      <c r="R33" s="192">
        <v>0</v>
      </c>
      <c r="S33" s="192">
        <v>0</v>
      </c>
      <c r="T33" s="192">
        <v>0</v>
      </c>
      <c r="U33" s="192">
        <v>0</v>
      </c>
      <c r="V33" s="191">
        <v>0</v>
      </c>
      <c r="W33" s="190">
        <v>0</v>
      </c>
      <c r="X33" s="273" t="b">
        <f t="shared" si="0"/>
        <v>1</v>
      </c>
      <c r="Y33" s="275">
        <f t="shared" si="1"/>
        <v>0.6</v>
      </c>
      <c r="Z33" s="276" t="b">
        <f t="shared" si="2"/>
        <v>1</v>
      </c>
      <c r="AA33" s="276" t="b">
        <f t="shared" si="3"/>
        <v>1</v>
      </c>
      <c r="AB33" s="38"/>
    </row>
    <row r="34" spans="1:28" s="37" customFormat="1" ht="27.75" customHeight="1">
      <c r="A34" s="146">
        <v>32</v>
      </c>
      <c r="B34" s="146" t="s">
        <v>268</v>
      </c>
      <c r="C34" s="147" t="s">
        <v>56</v>
      </c>
      <c r="D34" s="148" t="s">
        <v>67</v>
      </c>
      <c r="E34" s="148">
        <v>1802000</v>
      </c>
      <c r="F34" s="145" t="s">
        <v>269</v>
      </c>
      <c r="G34" s="146" t="s">
        <v>50</v>
      </c>
      <c r="H34" s="229">
        <v>3.747</v>
      </c>
      <c r="I34" s="149" t="s">
        <v>270</v>
      </c>
      <c r="J34" s="190">
        <v>3990998</v>
      </c>
      <c r="K34" s="191">
        <f>INT(J34*M34)</f>
        <v>2394598</v>
      </c>
      <c r="L34" s="192">
        <f>J34-K34</f>
        <v>1596400</v>
      </c>
      <c r="M34" s="150">
        <v>0.6</v>
      </c>
      <c r="N34" s="191">
        <v>0</v>
      </c>
      <c r="O34" s="191">
        <v>0</v>
      </c>
      <c r="P34" s="192">
        <v>0</v>
      </c>
      <c r="Q34" s="192">
        <f>K34</f>
        <v>2394598</v>
      </c>
      <c r="R34" s="192">
        <v>0</v>
      </c>
      <c r="S34" s="192">
        <v>0</v>
      </c>
      <c r="T34" s="192">
        <v>0</v>
      </c>
      <c r="U34" s="192">
        <v>0</v>
      </c>
      <c r="V34" s="191">
        <v>0</v>
      </c>
      <c r="W34" s="190">
        <v>0</v>
      </c>
      <c r="X34" s="273" t="b">
        <f t="shared" si="0"/>
        <v>1</v>
      </c>
      <c r="Y34" s="275">
        <f t="shared" si="1"/>
        <v>0.6</v>
      </c>
      <c r="Z34" s="276" t="b">
        <f t="shared" si="2"/>
        <v>1</v>
      </c>
      <c r="AA34" s="276" t="b">
        <f t="shared" si="3"/>
        <v>1</v>
      </c>
      <c r="AB34" s="38"/>
    </row>
    <row r="35" spans="1:27" s="277" customFormat="1" ht="36">
      <c r="A35" s="204" t="s">
        <v>634</v>
      </c>
      <c r="B35" s="204" t="s">
        <v>253</v>
      </c>
      <c r="C35" s="205" t="s">
        <v>56</v>
      </c>
      <c r="D35" s="206" t="s">
        <v>98</v>
      </c>
      <c r="E35" s="206">
        <v>1811000</v>
      </c>
      <c r="F35" s="207" t="s">
        <v>254</v>
      </c>
      <c r="G35" s="204" t="s">
        <v>51</v>
      </c>
      <c r="H35" s="228">
        <v>0.835</v>
      </c>
      <c r="I35" s="208" t="s">
        <v>255</v>
      </c>
      <c r="J35" s="198">
        <v>4771104.81</v>
      </c>
      <c r="K35" s="198">
        <v>95023.51</v>
      </c>
      <c r="L35" s="199">
        <v>4676081.299999995</v>
      </c>
      <c r="M35" s="209">
        <v>0.6</v>
      </c>
      <c r="N35" s="198">
        <v>0</v>
      </c>
      <c r="O35" s="198">
        <v>0</v>
      </c>
      <c r="P35" s="198">
        <v>0</v>
      </c>
      <c r="Q35" s="199">
        <v>95023.51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273" t="b">
        <f t="shared" si="0"/>
        <v>1</v>
      </c>
      <c r="Y35" s="275">
        <f t="shared" si="1"/>
        <v>0.0199</v>
      </c>
      <c r="Z35" s="276" t="b">
        <f t="shared" si="2"/>
        <v>0</v>
      </c>
      <c r="AA35" s="276" t="b">
        <f t="shared" si="3"/>
        <v>0</v>
      </c>
    </row>
    <row r="36" spans="1:28" ht="15">
      <c r="A36" s="362" t="s">
        <v>46</v>
      </c>
      <c r="B36" s="362"/>
      <c r="C36" s="362"/>
      <c r="D36" s="362"/>
      <c r="E36" s="362"/>
      <c r="F36" s="362"/>
      <c r="G36" s="362"/>
      <c r="H36" s="279">
        <f>SUM(H3:H35)</f>
        <v>120.98594999999999</v>
      </c>
      <c r="I36" s="280" t="s">
        <v>14</v>
      </c>
      <c r="J36" s="42">
        <f>SUM(J3:J35)</f>
        <v>320977394.1499999</v>
      </c>
      <c r="K36" s="42">
        <f>SUM(K3:K35)</f>
        <v>169965697.95999998</v>
      </c>
      <c r="L36" s="42">
        <f>SUM(L3:L35)</f>
        <v>151011696.19</v>
      </c>
      <c r="M36" s="281" t="s">
        <v>14</v>
      </c>
      <c r="N36" s="42">
        <f aca="true" t="shared" si="4" ref="N36:W36">SUM(N3:N35)</f>
        <v>251303</v>
      </c>
      <c r="O36" s="42">
        <f t="shared" si="4"/>
        <v>452187</v>
      </c>
      <c r="P36" s="42">
        <f t="shared" si="4"/>
        <v>15939703.4</v>
      </c>
      <c r="Q36" s="42">
        <f t="shared" si="4"/>
        <v>93155993.51</v>
      </c>
      <c r="R36" s="42">
        <f t="shared" si="4"/>
        <v>27559554.049999997</v>
      </c>
      <c r="S36" s="42">
        <f t="shared" si="4"/>
        <v>750000</v>
      </c>
      <c r="T36" s="42">
        <f t="shared" si="4"/>
        <v>31000000</v>
      </c>
      <c r="U36" s="42">
        <f t="shared" si="4"/>
        <v>856957</v>
      </c>
      <c r="V36" s="42">
        <f t="shared" si="4"/>
        <v>0</v>
      </c>
      <c r="W36" s="42">
        <f t="shared" si="4"/>
        <v>0</v>
      </c>
      <c r="X36" s="273"/>
      <c r="AA36" s="273"/>
      <c r="AB36" s="273"/>
    </row>
    <row r="37" spans="1:28" ht="15">
      <c r="A37" s="359" t="s">
        <v>39</v>
      </c>
      <c r="B37" s="359"/>
      <c r="C37" s="359"/>
      <c r="D37" s="359"/>
      <c r="E37" s="359"/>
      <c r="F37" s="359"/>
      <c r="G37" s="359"/>
      <c r="H37" s="282">
        <f>SUMIF($C$3:$C$35,"K",H3:H35)</f>
        <v>46.815310000000004</v>
      </c>
      <c r="I37" s="283" t="s">
        <v>14</v>
      </c>
      <c r="J37" s="43">
        <f>SUMIF($C$3:$C$35,"K",J3:J35)</f>
        <v>137971213.71</v>
      </c>
      <c r="K37" s="43">
        <f>SUMIF($C$3:$C$35,"K",K3:K35)</f>
        <v>75567155.4</v>
      </c>
      <c r="L37" s="43">
        <f>SUMIF($C$3:$C$35,"K",L3:L35)</f>
        <v>62404058.31</v>
      </c>
      <c r="M37" s="284" t="s">
        <v>14</v>
      </c>
      <c r="N37" s="43">
        <f aca="true" t="shared" si="5" ref="N37:W37">SUMIF($C$3:$C$35,"K",N3:N35)</f>
        <v>251303</v>
      </c>
      <c r="O37" s="43">
        <f t="shared" si="5"/>
        <v>452187</v>
      </c>
      <c r="P37" s="43">
        <f t="shared" si="5"/>
        <v>15939703.4</v>
      </c>
      <c r="Q37" s="43">
        <f t="shared" si="5"/>
        <v>20047275</v>
      </c>
      <c r="R37" s="43">
        <f t="shared" si="5"/>
        <v>8876687</v>
      </c>
      <c r="S37" s="43">
        <f t="shared" si="5"/>
        <v>0</v>
      </c>
      <c r="T37" s="43">
        <f t="shared" si="5"/>
        <v>30000000</v>
      </c>
      <c r="U37" s="43">
        <f t="shared" si="5"/>
        <v>0</v>
      </c>
      <c r="V37" s="43">
        <f t="shared" si="5"/>
        <v>0</v>
      </c>
      <c r="W37" s="43">
        <f t="shared" si="5"/>
        <v>0</v>
      </c>
      <c r="X37" s="273"/>
      <c r="AA37" s="273"/>
      <c r="AB37" s="273"/>
    </row>
    <row r="38" spans="1:28" ht="15">
      <c r="A38" s="362" t="s">
        <v>40</v>
      </c>
      <c r="B38" s="362"/>
      <c r="C38" s="362"/>
      <c r="D38" s="362"/>
      <c r="E38" s="362"/>
      <c r="F38" s="362"/>
      <c r="G38" s="362"/>
      <c r="H38" s="279">
        <f>SUMIF($C$3:$C$35,"N",H3:H35)</f>
        <v>40.24764</v>
      </c>
      <c r="I38" s="280" t="s">
        <v>14</v>
      </c>
      <c r="J38" s="42">
        <f>SUMIF($C$3:$C$35,"N",J3:J35)</f>
        <v>94490477.05000001</v>
      </c>
      <c r="K38" s="42">
        <f>SUMIF($C$3:$C$35,"N",K3:K35)</f>
        <v>48613806.51</v>
      </c>
      <c r="L38" s="42">
        <f>SUMIF($C$3:$C$35,"N",L3:L35)</f>
        <v>45876670.53999999</v>
      </c>
      <c r="M38" s="281" t="s">
        <v>14</v>
      </c>
      <c r="N38" s="42">
        <f aca="true" t="shared" si="6" ref="N38:W38">SUMIF($C$3:$C$35,"N",N3:N35)</f>
        <v>0</v>
      </c>
      <c r="O38" s="42">
        <f t="shared" si="6"/>
        <v>0</v>
      </c>
      <c r="P38" s="42">
        <f t="shared" si="6"/>
        <v>0</v>
      </c>
      <c r="Q38" s="42">
        <f t="shared" si="6"/>
        <v>48613806.51</v>
      </c>
      <c r="R38" s="42">
        <f t="shared" si="6"/>
        <v>0</v>
      </c>
      <c r="S38" s="42">
        <f t="shared" si="6"/>
        <v>0</v>
      </c>
      <c r="T38" s="42">
        <f t="shared" si="6"/>
        <v>0</v>
      </c>
      <c r="U38" s="42">
        <f t="shared" si="6"/>
        <v>0</v>
      </c>
      <c r="V38" s="42">
        <f t="shared" si="6"/>
        <v>0</v>
      </c>
      <c r="W38" s="42">
        <f t="shared" si="6"/>
        <v>0</v>
      </c>
      <c r="X38" s="273"/>
      <c r="AA38" s="273"/>
      <c r="AB38" s="273"/>
    </row>
    <row r="39" spans="1:28" ht="15">
      <c r="A39" s="359" t="s">
        <v>41</v>
      </c>
      <c r="B39" s="359"/>
      <c r="C39" s="359"/>
      <c r="D39" s="359"/>
      <c r="E39" s="359"/>
      <c r="F39" s="359"/>
      <c r="G39" s="359"/>
      <c r="H39" s="282">
        <f>SUMIF($C$3:$C$35,"W",H3:H35)</f>
        <v>33.923</v>
      </c>
      <c r="I39" s="283" t="s">
        <v>14</v>
      </c>
      <c r="J39" s="43">
        <f>SUMIF($C$3:$C$35,"W",J3:J35)</f>
        <v>88515703.39</v>
      </c>
      <c r="K39" s="43">
        <f>SUMIF($C$3:$C$35,"W",K3:K35)</f>
        <v>45784736.05</v>
      </c>
      <c r="L39" s="43">
        <f>SUMIF($C$3:$C$35,"W",L3:L35)</f>
        <v>42730967.34</v>
      </c>
      <c r="M39" s="284" t="s">
        <v>14</v>
      </c>
      <c r="N39" s="43">
        <f aca="true" t="shared" si="7" ref="N39:W39">SUMIF($C$3:$C$35,"W",N3:N35)</f>
        <v>0</v>
      </c>
      <c r="O39" s="43">
        <f t="shared" si="7"/>
        <v>0</v>
      </c>
      <c r="P39" s="43">
        <f t="shared" si="7"/>
        <v>0</v>
      </c>
      <c r="Q39" s="43">
        <f t="shared" si="7"/>
        <v>24494912</v>
      </c>
      <c r="R39" s="43">
        <f t="shared" si="7"/>
        <v>18682867.049999997</v>
      </c>
      <c r="S39" s="43">
        <f t="shared" si="7"/>
        <v>750000</v>
      </c>
      <c r="T39" s="43">
        <f t="shared" si="7"/>
        <v>1000000</v>
      </c>
      <c r="U39" s="43">
        <f t="shared" si="7"/>
        <v>856957</v>
      </c>
      <c r="V39" s="43">
        <f t="shared" si="7"/>
        <v>0</v>
      </c>
      <c r="W39" s="43">
        <f t="shared" si="7"/>
        <v>0</v>
      </c>
      <c r="X39" s="273"/>
      <c r="AA39" s="273"/>
      <c r="AB39" s="273"/>
    </row>
    <row r="40" spans="1:28" ht="15">
      <c r="A40" s="285"/>
      <c r="B40" s="285"/>
      <c r="C40" s="285"/>
      <c r="D40" s="285"/>
      <c r="E40" s="285"/>
      <c r="F40" s="286"/>
      <c r="G40" s="285"/>
      <c r="X40" s="273"/>
      <c r="AA40" s="273"/>
      <c r="AB40" s="273"/>
    </row>
    <row r="41" spans="1:28" ht="15">
      <c r="A41" s="255" t="s">
        <v>25</v>
      </c>
      <c r="B41" s="166"/>
      <c r="C41" s="166"/>
      <c r="D41" s="166"/>
      <c r="E41" s="166"/>
      <c r="F41" s="31"/>
      <c r="G41" s="166"/>
      <c r="H41" s="288"/>
      <c r="I41" s="288"/>
      <c r="J41" s="220"/>
      <c r="K41" s="34"/>
      <c r="L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73"/>
      <c r="AA41" s="273"/>
      <c r="AB41" s="273"/>
    </row>
    <row r="42" spans="1:24" ht="15">
      <c r="A42" s="256" t="s">
        <v>26</v>
      </c>
      <c r="B42" s="167"/>
      <c r="C42" s="167"/>
      <c r="D42" s="167"/>
      <c r="E42" s="167"/>
      <c r="F42" s="32"/>
      <c r="G42" s="167"/>
      <c r="H42" s="288"/>
      <c r="I42" s="288"/>
      <c r="J42" s="29"/>
      <c r="K42" s="34"/>
      <c r="L42" s="34"/>
      <c r="N42" s="34"/>
      <c r="O42" s="34"/>
      <c r="P42" s="34"/>
      <c r="Q42" s="196"/>
      <c r="R42" s="34"/>
      <c r="S42" s="34"/>
      <c r="T42" s="34"/>
      <c r="U42" s="34"/>
      <c r="V42" s="34"/>
      <c r="W42" s="34"/>
      <c r="X42" s="273"/>
    </row>
    <row r="43" spans="1:10" ht="15">
      <c r="A43" s="255" t="s">
        <v>44</v>
      </c>
      <c r="B43" s="285"/>
      <c r="C43" s="285"/>
      <c r="D43" s="285"/>
      <c r="E43" s="285"/>
      <c r="F43" s="286"/>
      <c r="G43" s="285"/>
      <c r="J43" s="28"/>
    </row>
    <row r="44" spans="1:10" ht="15">
      <c r="A44" s="289" t="s">
        <v>29</v>
      </c>
      <c r="B44" s="290"/>
      <c r="C44" s="290"/>
      <c r="D44" s="290"/>
      <c r="E44" s="290"/>
      <c r="F44" s="291"/>
      <c r="G44" s="290"/>
      <c r="J44" s="28"/>
    </row>
    <row r="46" ht="15">
      <c r="K46" s="292"/>
    </row>
    <row r="47" ht="15">
      <c r="S47" s="292"/>
    </row>
    <row r="48" spans="15:19" ht="15">
      <c r="O48" s="292"/>
      <c r="P48" s="292"/>
      <c r="Q48" s="292"/>
      <c r="R48" s="292"/>
      <c r="S48" s="292"/>
    </row>
    <row r="49" spans="16:19" ht="15">
      <c r="P49" s="292"/>
      <c r="Q49" s="292"/>
      <c r="R49" s="292"/>
      <c r="S49" s="292"/>
    </row>
    <row r="50" spans="16:19" ht="15">
      <c r="P50" s="292"/>
      <c r="Q50" s="292"/>
      <c r="R50" s="292"/>
      <c r="S50" s="292"/>
    </row>
    <row r="53" spans="16:19" ht="15">
      <c r="P53" s="293"/>
      <c r="Q53" s="288"/>
      <c r="R53" s="288"/>
      <c r="S53" s="293"/>
    </row>
    <row r="54" spans="18:19" ht="15">
      <c r="R54" s="180"/>
      <c r="S54" s="178"/>
    </row>
    <row r="55" spans="16:19" ht="15">
      <c r="P55" s="292"/>
      <c r="R55" s="288"/>
      <c r="S55" s="293"/>
    </row>
    <row r="62" spans="18:23" ht="15">
      <c r="R62" s="292"/>
      <c r="S62" s="292"/>
      <c r="T62" s="292"/>
      <c r="U62" s="292"/>
      <c r="V62" s="292"/>
      <c r="W62" s="292"/>
    </row>
    <row r="63" spans="1:28" s="28" customFormat="1" ht="15">
      <c r="A63" s="294"/>
      <c r="B63" s="294"/>
      <c r="C63" s="294"/>
      <c r="D63" s="294"/>
      <c r="E63" s="294"/>
      <c r="G63" s="294"/>
      <c r="H63" s="294"/>
      <c r="I63" s="294"/>
      <c r="M63" s="295"/>
      <c r="R63" s="203"/>
      <c r="X63" s="296"/>
      <c r="Y63" s="173"/>
      <c r="Z63" s="173"/>
      <c r="AA63" s="296"/>
      <c r="AB63" s="297"/>
    </row>
    <row r="64" spans="1:28" s="28" customFormat="1" ht="15">
      <c r="A64" s="294"/>
      <c r="B64" s="294"/>
      <c r="C64" s="294"/>
      <c r="D64" s="294"/>
      <c r="E64" s="294"/>
      <c r="G64" s="294"/>
      <c r="H64" s="294"/>
      <c r="I64" s="294"/>
      <c r="L64" s="203"/>
      <c r="M64" s="235"/>
      <c r="R64" s="203"/>
      <c r="X64" s="296"/>
      <c r="Y64" s="173"/>
      <c r="Z64" s="173"/>
      <c r="AA64" s="296"/>
      <c r="AB64" s="297"/>
    </row>
    <row r="65" spans="1:28" s="28" customFormat="1" ht="15">
      <c r="A65" s="294"/>
      <c r="B65" s="294"/>
      <c r="C65" s="294"/>
      <c r="D65" s="294"/>
      <c r="E65" s="294"/>
      <c r="H65" s="298"/>
      <c r="I65" s="203"/>
      <c r="M65" s="295"/>
      <c r="R65" s="203"/>
      <c r="X65" s="296"/>
      <c r="Y65" s="173"/>
      <c r="Z65" s="173"/>
      <c r="AA65" s="296"/>
      <c r="AB65" s="297"/>
    </row>
    <row r="66" spans="1:28" s="28" customFormat="1" ht="15">
      <c r="A66" s="294"/>
      <c r="B66" s="294"/>
      <c r="C66" s="294"/>
      <c r="D66" s="294"/>
      <c r="E66" s="294"/>
      <c r="G66" s="294"/>
      <c r="H66" s="294"/>
      <c r="I66" s="294"/>
      <c r="L66" s="203"/>
      <c r="M66" s="203"/>
      <c r="R66" s="203"/>
      <c r="T66" s="203"/>
      <c r="X66" s="296"/>
      <c r="Y66" s="173"/>
      <c r="Z66" s="173"/>
      <c r="AA66" s="296"/>
      <c r="AB66" s="297"/>
    </row>
    <row r="67" spans="1:28" s="28" customFormat="1" ht="15">
      <c r="A67" s="294"/>
      <c r="B67" s="294"/>
      <c r="C67" s="294"/>
      <c r="D67" s="294"/>
      <c r="E67" s="294"/>
      <c r="G67" s="294"/>
      <c r="H67" s="294"/>
      <c r="I67" s="294"/>
      <c r="M67" s="295"/>
      <c r="X67" s="296"/>
      <c r="Y67" s="173"/>
      <c r="Z67" s="173"/>
      <c r="AA67" s="296"/>
      <c r="AB67" s="297"/>
    </row>
    <row r="68" spans="1:28" s="28" customFormat="1" ht="15">
      <c r="A68" s="294"/>
      <c r="B68" s="294"/>
      <c r="C68" s="294"/>
      <c r="D68" s="294"/>
      <c r="E68" s="294"/>
      <c r="G68" s="294"/>
      <c r="H68" s="294"/>
      <c r="I68" s="294"/>
      <c r="M68" s="295"/>
      <c r="X68" s="296"/>
      <c r="Y68" s="173"/>
      <c r="Z68" s="173"/>
      <c r="AA68" s="296"/>
      <c r="AB68" s="297"/>
    </row>
    <row r="69" spans="1:28" s="28" customFormat="1" ht="15">
      <c r="A69" s="294"/>
      <c r="B69" s="294"/>
      <c r="C69" s="294"/>
      <c r="D69" s="294"/>
      <c r="E69" s="294"/>
      <c r="G69" s="294"/>
      <c r="H69" s="294"/>
      <c r="I69" s="294"/>
      <c r="M69" s="295"/>
      <c r="X69" s="296"/>
      <c r="Y69" s="173"/>
      <c r="Z69" s="173"/>
      <c r="AA69" s="296"/>
      <c r="AB69" s="297"/>
    </row>
    <row r="70" spans="1:28" s="28" customFormat="1" ht="15">
      <c r="A70" s="294"/>
      <c r="B70" s="294"/>
      <c r="C70" s="294"/>
      <c r="D70" s="294"/>
      <c r="E70" s="294"/>
      <c r="G70" s="294"/>
      <c r="H70" s="294"/>
      <c r="I70" s="294"/>
      <c r="M70" s="295"/>
      <c r="X70" s="296"/>
      <c r="Y70" s="173"/>
      <c r="Z70" s="173"/>
      <c r="AA70" s="296"/>
      <c r="AB70" s="297"/>
    </row>
    <row r="71" spans="1:28" s="28" customFormat="1" ht="15">
      <c r="A71" s="294"/>
      <c r="B71" s="294"/>
      <c r="C71" s="294"/>
      <c r="D71" s="294"/>
      <c r="E71" s="294"/>
      <c r="G71" s="294"/>
      <c r="H71" s="294"/>
      <c r="I71" s="294"/>
      <c r="M71" s="295"/>
      <c r="R71" s="203"/>
      <c r="X71" s="296"/>
      <c r="Y71" s="173"/>
      <c r="Z71" s="173"/>
      <c r="AA71" s="296"/>
      <c r="AB71" s="297"/>
    </row>
    <row r="72" spans="1:28" s="28" customFormat="1" ht="15">
      <c r="A72" s="294"/>
      <c r="B72" s="294"/>
      <c r="C72" s="294"/>
      <c r="D72" s="294"/>
      <c r="E72" s="294"/>
      <c r="G72" s="294"/>
      <c r="H72" s="294"/>
      <c r="I72" s="294"/>
      <c r="M72" s="295"/>
      <c r="X72" s="296"/>
      <c r="Y72" s="173"/>
      <c r="Z72" s="173"/>
      <c r="AA72" s="296"/>
      <c r="AB72" s="297"/>
    </row>
    <row r="73" spans="1:28" s="28" customFormat="1" ht="15">
      <c r="A73" s="294"/>
      <c r="B73" s="294"/>
      <c r="C73" s="294"/>
      <c r="D73" s="294"/>
      <c r="E73" s="294"/>
      <c r="G73" s="294"/>
      <c r="H73" s="294"/>
      <c r="I73" s="294"/>
      <c r="K73" s="203"/>
      <c r="L73" s="203"/>
      <c r="M73" s="295"/>
      <c r="R73" s="203"/>
      <c r="T73" s="203"/>
      <c r="X73" s="296"/>
      <c r="Y73" s="173"/>
      <c r="Z73" s="173"/>
      <c r="AA73" s="296"/>
      <c r="AB73" s="297"/>
    </row>
    <row r="74" spans="1:28" s="28" customFormat="1" ht="15">
      <c r="A74" s="294"/>
      <c r="B74" s="294"/>
      <c r="C74" s="294"/>
      <c r="D74" s="294"/>
      <c r="E74" s="294"/>
      <c r="G74" s="294"/>
      <c r="H74" s="294"/>
      <c r="I74" s="294"/>
      <c r="K74" s="203"/>
      <c r="L74" s="203"/>
      <c r="M74" s="295"/>
      <c r="R74" s="203"/>
      <c r="T74" s="203"/>
      <c r="X74" s="296"/>
      <c r="Y74" s="173"/>
      <c r="Z74" s="173"/>
      <c r="AA74" s="296"/>
      <c r="AB74" s="297"/>
    </row>
    <row r="75" spans="1:28" s="28" customFormat="1" ht="15">
      <c r="A75" s="294"/>
      <c r="B75" s="294"/>
      <c r="C75" s="294"/>
      <c r="D75" s="294"/>
      <c r="E75" s="294"/>
      <c r="G75" s="294"/>
      <c r="H75" s="294"/>
      <c r="I75" s="294"/>
      <c r="M75" s="295"/>
      <c r="X75" s="296"/>
      <c r="Y75" s="173"/>
      <c r="Z75" s="173"/>
      <c r="AA75" s="296"/>
      <c r="AB75" s="297"/>
    </row>
    <row r="76" spans="1:28" s="28" customFormat="1" ht="15">
      <c r="A76" s="294"/>
      <c r="B76" s="294"/>
      <c r="C76" s="294"/>
      <c r="D76" s="294"/>
      <c r="E76" s="294"/>
      <c r="G76" s="294"/>
      <c r="H76" s="294"/>
      <c r="I76" s="294"/>
      <c r="M76" s="295"/>
      <c r="X76" s="296"/>
      <c r="Y76" s="173"/>
      <c r="Z76" s="173"/>
      <c r="AA76" s="296"/>
      <c r="AB76" s="297"/>
    </row>
    <row r="77" spans="1:28" s="28" customFormat="1" ht="15">
      <c r="A77" s="294"/>
      <c r="B77" s="294"/>
      <c r="C77" s="294"/>
      <c r="D77" s="294"/>
      <c r="E77" s="294"/>
      <c r="G77" s="294"/>
      <c r="H77" s="294"/>
      <c r="I77" s="294"/>
      <c r="M77" s="295"/>
      <c r="X77" s="296"/>
      <c r="Y77" s="173"/>
      <c r="Z77" s="173"/>
      <c r="AA77" s="296"/>
      <c r="AB77" s="297"/>
    </row>
    <row r="78" spans="1:28" s="28" customFormat="1" ht="15">
      <c r="A78" s="294"/>
      <c r="B78" s="294"/>
      <c r="C78" s="294"/>
      <c r="D78" s="294"/>
      <c r="E78" s="294"/>
      <c r="G78" s="294"/>
      <c r="H78" s="294"/>
      <c r="I78" s="294"/>
      <c r="M78" s="295"/>
      <c r="X78" s="296"/>
      <c r="Y78" s="173"/>
      <c r="Z78" s="173"/>
      <c r="AA78" s="296"/>
      <c r="AB78" s="297"/>
    </row>
    <row r="79" spans="1:28" s="28" customFormat="1" ht="15">
      <c r="A79" s="294"/>
      <c r="B79" s="294"/>
      <c r="C79" s="294"/>
      <c r="D79" s="294"/>
      <c r="E79" s="294"/>
      <c r="G79" s="294"/>
      <c r="H79" s="294"/>
      <c r="I79" s="294"/>
      <c r="M79" s="295"/>
      <c r="X79" s="296"/>
      <c r="Y79" s="173"/>
      <c r="Z79" s="173"/>
      <c r="AA79" s="296"/>
      <c r="AB79" s="297"/>
    </row>
    <row r="80" spans="1:28" s="28" customFormat="1" ht="15">
      <c r="A80" s="294"/>
      <c r="B80" s="294"/>
      <c r="C80" s="294"/>
      <c r="D80" s="294"/>
      <c r="E80" s="294"/>
      <c r="G80" s="294"/>
      <c r="H80" s="294"/>
      <c r="I80" s="294"/>
      <c r="M80" s="295"/>
      <c r="Q80" s="203"/>
      <c r="X80" s="296"/>
      <c r="Y80" s="173"/>
      <c r="Z80" s="173"/>
      <c r="AA80" s="296"/>
      <c r="AB80" s="297"/>
    </row>
    <row r="81" spans="1:28" s="28" customFormat="1" ht="15">
      <c r="A81" s="294"/>
      <c r="B81" s="294"/>
      <c r="C81" s="294"/>
      <c r="D81" s="294"/>
      <c r="E81" s="294"/>
      <c r="G81" s="294"/>
      <c r="H81" s="294"/>
      <c r="I81" s="294"/>
      <c r="M81" s="295"/>
      <c r="X81" s="296"/>
      <c r="Y81" s="173"/>
      <c r="Z81" s="173"/>
      <c r="AA81" s="296"/>
      <c r="AB81" s="297"/>
    </row>
    <row r="82" spans="1:28" s="28" customFormat="1" ht="15">
      <c r="A82" s="294"/>
      <c r="B82" s="294"/>
      <c r="C82" s="294"/>
      <c r="D82" s="294"/>
      <c r="E82" s="294"/>
      <c r="G82" s="294"/>
      <c r="H82" s="294"/>
      <c r="I82" s="294"/>
      <c r="M82" s="295"/>
      <c r="X82" s="296"/>
      <c r="Y82" s="173"/>
      <c r="Z82" s="173"/>
      <c r="AA82" s="296"/>
      <c r="AB82" s="297"/>
    </row>
    <row r="83" spans="1:28" s="203" customFormat="1" ht="15">
      <c r="A83" s="298"/>
      <c r="B83" s="298"/>
      <c r="C83" s="298"/>
      <c r="D83" s="298"/>
      <c r="E83" s="298"/>
      <c r="G83" s="298"/>
      <c r="H83" s="298"/>
      <c r="I83" s="298"/>
      <c r="M83" s="235"/>
      <c r="R83" s="230"/>
      <c r="X83" s="299"/>
      <c r="Y83" s="300"/>
      <c r="Z83" s="300"/>
      <c r="AA83" s="299"/>
      <c r="AB83" s="301"/>
    </row>
    <row r="84" spans="1:28" s="28" customFormat="1" ht="15">
      <c r="A84" s="294"/>
      <c r="B84" s="294"/>
      <c r="C84" s="294"/>
      <c r="D84" s="294"/>
      <c r="E84" s="294"/>
      <c r="G84" s="294"/>
      <c r="H84" s="294"/>
      <c r="I84" s="294"/>
      <c r="M84" s="295"/>
      <c r="X84" s="296"/>
      <c r="Y84" s="173"/>
      <c r="Z84" s="173"/>
      <c r="AA84" s="296"/>
      <c r="AB84" s="297"/>
    </row>
  </sheetData>
  <sheetProtection/>
  <mergeCells count="18">
    <mergeCell ref="G1:G2"/>
    <mergeCell ref="L1:L2"/>
    <mergeCell ref="M1:M2"/>
    <mergeCell ref="N1:W1"/>
    <mergeCell ref="H1:H2"/>
    <mergeCell ref="I1:I2"/>
    <mergeCell ref="J1:J2"/>
    <mergeCell ref="K1:K2"/>
    <mergeCell ref="A37:G37"/>
    <mergeCell ref="D1:D2"/>
    <mergeCell ref="A39:G39"/>
    <mergeCell ref="A38:G38"/>
    <mergeCell ref="E1:E2"/>
    <mergeCell ref="A36:G36"/>
    <mergeCell ref="A1:A2"/>
    <mergeCell ref="B1:B2"/>
    <mergeCell ref="C1:C2"/>
    <mergeCell ref="F1:F2"/>
  </mergeCells>
  <conditionalFormatting sqref="X3:AA35">
    <cfRule type="cellIs" priority="12" dxfId="33" operator="equal">
      <formula>FALSE</formula>
    </cfRule>
  </conditionalFormatting>
  <conditionalFormatting sqref="X3:Z35">
    <cfRule type="containsText" priority="11" dxfId="33" operator="containsText" text="fałsz">
      <formula>NOT(ISERROR(SEARCH("fałsz",X3)))</formula>
    </cfRule>
  </conditionalFormatting>
  <conditionalFormatting sqref="AB31">
    <cfRule type="cellIs" priority="10" dxfId="33" operator="equal">
      <formula>FALSE</formula>
    </cfRule>
  </conditionalFormatting>
  <conditionalFormatting sqref="AB31">
    <cfRule type="cellIs" priority="9" dxfId="33" operator="equal">
      <formula>FALSE</formula>
    </cfRule>
  </conditionalFormatting>
  <conditionalFormatting sqref="AB32">
    <cfRule type="cellIs" priority="6" dxfId="33" operator="equal">
      <formula>FALSE</formula>
    </cfRule>
  </conditionalFormatting>
  <conditionalFormatting sqref="AB32">
    <cfRule type="cellIs" priority="5" dxfId="33" operator="equal">
      <formula>FALSE</formula>
    </cfRule>
  </conditionalFormatting>
  <conditionalFormatting sqref="AB33:AB34">
    <cfRule type="cellIs" priority="1" dxfId="33" operator="equal">
      <formula>FALSE</formula>
    </cfRule>
  </conditionalFormatting>
  <dataValidations count="3">
    <dataValidation type="list" allowBlank="1" showInputMessage="1" showErrorMessage="1" sqref="C3:C30 C35">
      <formula1>"N,K,W"</formula1>
    </dataValidation>
    <dataValidation type="list" allowBlank="1" showInputMessage="1" showErrorMessage="1" sqref="G3:G35">
      <formula1>"B,P,R"</formula1>
    </dataValidation>
    <dataValidation type="list" allowBlank="1" showInputMessage="1" showErrorMessage="1" sqref="C31:C34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8" scale="48" r:id="rId3"/>
  <headerFooter>
    <oddHeader>&amp;LWojewództwo p&amp;K000000odkarpackie&amp;K01+000 - zadania powiatowe lista podstawowa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8"/>
  <sheetViews>
    <sheetView showGridLines="0" view="pageBreakPreview" zoomScale="110" zoomScaleSheetLayoutView="110" zoomScalePageLayoutView="85" workbookViewId="0" topLeftCell="P1">
      <selection activeCell="A83" sqref="A83"/>
    </sheetView>
  </sheetViews>
  <sheetFormatPr defaultColWidth="9.140625" defaultRowHeight="15"/>
  <cols>
    <col min="1" max="1" width="7.140625" style="36" customWidth="1"/>
    <col min="2" max="2" width="13.00390625" style="36" customWidth="1"/>
    <col min="3" max="3" width="15.00390625" style="36" customWidth="1"/>
    <col min="4" max="6" width="15.7109375" style="36" customWidth="1"/>
    <col min="7" max="7" width="57.00390625" style="3" customWidth="1"/>
    <col min="8" max="8" width="13.140625" style="36" customWidth="1"/>
    <col min="9" max="9" width="12.8515625" style="36" customWidth="1"/>
    <col min="10" max="10" width="15.7109375" style="36" customWidth="1"/>
    <col min="11" max="11" width="15.7109375" style="4" customWidth="1"/>
    <col min="12" max="12" width="16.8515625" style="3" customWidth="1"/>
    <col min="13" max="13" width="15.7109375" style="3" customWidth="1"/>
    <col min="14" max="14" width="15.7109375" style="1" customWidth="1"/>
    <col min="15" max="16" width="15.7109375" style="3" customWidth="1"/>
    <col min="17" max="17" width="15.7109375" style="4" customWidth="1"/>
    <col min="18" max="24" width="15.7109375" style="3" customWidth="1"/>
    <col min="25" max="25" width="9.00390625" style="174" bestFit="1" customWidth="1"/>
    <col min="26" max="26" width="11.28125" style="174" bestFit="1" customWidth="1"/>
    <col min="27" max="27" width="9.00390625" style="174" bestFit="1" customWidth="1"/>
    <col min="28" max="28" width="15.7109375" style="172" customWidth="1"/>
    <col min="29" max="29" width="11.421875" style="175" bestFit="1" customWidth="1"/>
    <col min="30" max="16384" width="9.140625" style="3" customWidth="1"/>
  </cols>
  <sheetData>
    <row r="1" spans="1:28" ht="15">
      <c r="A1" s="363" t="s">
        <v>4</v>
      </c>
      <c r="B1" s="363" t="s">
        <v>5</v>
      </c>
      <c r="C1" s="364" t="s">
        <v>45</v>
      </c>
      <c r="D1" s="360" t="s">
        <v>6</v>
      </c>
      <c r="E1" s="363" t="s">
        <v>34</v>
      </c>
      <c r="F1" s="360" t="s">
        <v>15</v>
      </c>
      <c r="G1" s="363" t="s">
        <v>7</v>
      </c>
      <c r="H1" s="363" t="s">
        <v>27</v>
      </c>
      <c r="I1" s="363" t="s">
        <v>8</v>
      </c>
      <c r="J1" s="363" t="s">
        <v>28</v>
      </c>
      <c r="K1" s="363" t="s">
        <v>9</v>
      </c>
      <c r="L1" s="363" t="s">
        <v>17</v>
      </c>
      <c r="M1" s="360" t="s">
        <v>13</v>
      </c>
      <c r="N1" s="363" t="s">
        <v>11</v>
      </c>
      <c r="O1" s="363" t="s">
        <v>12</v>
      </c>
      <c r="P1" s="363"/>
      <c r="Q1" s="363"/>
      <c r="R1" s="363"/>
      <c r="S1" s="363"/>
      <c r="T1" s="363"/>
      <c r="U1" s="363"/>
      <c r="V1" s="363"/>
      <c r="W1" s="363"/>
      <c r="X1" s="363"/>
      <c r="Y1" s="302"/>
      <c r="Z1" s="302"/>
      <c r="AA1" s="302"/>
      <c r="AB1" s="240"/>
    </row>
    <row r="2" spans="1:28" ht="47.25" customHeight="1">
      <c r="A2" s="363"/>
      <c r="B2" s="363"/>
      <c r="C2" s="365"/>
      <c r="D2" s="361"/>
      <c r="E2" s="363"/>
      <c r="F2" s="361"/>
      <c r="G2" s="363"/>
      <c r="H2" s="363"/>
      <c r="I2" s="363"/>
      <c r="J2" s="363"/>
      <c r="K2" s="363"/>
      <c r="L2" s="363"/>
      <c r="M2" s="361"/>
      <c r="N2" s="363"/>
      <c r="O2" s="272">
        <v>2019</v>
      </c>
      <c r="P2" s="272">
        <v>2020</v>
      </c>
      <c r="Q2" s="272">
        <v>2021</v>
      </c>
      <c r="R2" s="272">
        <v>2022</v>
      </c>
      <c r="S2" s="272">
        <v>2023</v>
      </c>
      <c r="T2" s="272">
        <v>2024</v>
      </c>
      <c r="U2" s="272">
        <v>2025</v>
      </c>
      <c r="V2" s="272">
        <v>2026</v>
      </c>
      <c r="W2" s="272">
        <v>2027</v>
      </c>
      <c r="X2" s="272">
        <v>2028</v>
      </c>
      <c r="Y2" s="302" t="s">
        <v>30</v>
      </c>
      <c r="Z2" s="302" t="s">
        <v>31</v>
      </c>
      <c r="AA2" s="302" t="s">
        <v>32</v>
      </c>
      <c r="AB2" s="240" t="s">
        <v>33</v>
      </c>
    </row>
    <row r="3" spans="1:29" s="153" customFormat="1" ht="24">
      <c r="A3" s="244">
        <v>1</v>
      </c>
      <c r="B3" s="156" t="s">
        <v>131</v>
      </c>
      <c r="C3" s="157" t="s">
        <v>48</v>
      </c>
      <c r="D3" s="158" t="s">
        <v>72</v>
      </c>
      <c r="E3" s="158" t="s">
        <v>190</v>
      </c>
      <c r="F3" s="156" t="s">
        <v>73</v>
      </c>
      <c r="G3" s="152" t="s">
        <v>74</v>
      </c>
      <c r="H3" s="156" t="s">
        <v>51</v>
      </c>
      <c r="I3" s="227">
        <v>0.54</v>
      </c>
      <c r="J3" s="159" t="s">
        <v>308</v>
      </c>
      <c r="K3" s="154">
        <v>20377511.78</v>
      </c>
      <c r="L3" s="155">
        <v>16302009</v>
      </c>
      <c r="M3" s="161">
        <v>4075502.780000001</v>
      </c>
      <c r="N3" s="160">
        <v>0.8</v>
      </c>
      <c r="O3" s="155">
        <v>0</v>
      </c>
      <c r="P3" s="155">
        <v>0</v>
      </c>
      <c r="Q3" s="154">
        <v>7700472</v>
      </c>
      <c r="R3" s="154">
        <v>8601537</v>
      </c>
      <c r="S3" s="154">
        <v>0</v>
      </c>
      <c r="T3" s="154">
        <v>0</v>
      </c>
      <c r="U3" s="154">
        <v>0</v>
      </c>
      <c r="V3" s="154">
        <v>0</v>
      </c>
      <c r="W3" s="154">
        <v>0</v>
      </c>
      <c r="X3" s="154">
        <v>0</v>
      </c>
      <c r="Y3" s="302" t="b">
        <f>L3=SUM(O3:X3)</f>
        <v>1</v>
      </c>
      <c r="Z3" s="303">
        <f>ROUND(L3/K3,4)</f>
        <v>0.8</v>
      </c>
      <c r="AA3" s="304" t="b">
        <f>Z3=N3</f>
        <v>1</v>
      </c>
      <c r="AB3" s="304" t="b">
        <f>K3=L3+M3</f>
        <v>1</v>
      </c>
      <c r="AC3" s="201"/>
    </row>
    <row r="4" spans="1:29" s="153" customFormat="1" ht="24">
      <c r="A4" s="244">
        <v>2</v>
      </c>
      <c r="B4" s="156" t="s">
        <v>132</v>
      </c>
      <c r="C4" s="157" t="s">
        <v>48</v>
      </c>
      <c r="D4" s="158" t="s">
        <v>75</v>
      </c>
      <c r="E4" s="158" t="s">
        <v>191</v>
      </c>
      <c r="F4" s="156" t="s">
        <v>76</v>
      </c>
      <c r="G4" s="152" t="s">
        <v>77</v>
      </c>
      <c r="H4" s="156" t="s">
        <v>51</v>
      </c>
      <c r="I4" s="227">
        <v>2.91861</v>
      </c>
      <c r="J4" s="159" t="s">
        <v>133</v>
      </c>
      <c r="K4" s="154">
        <v>14249381.32</v>
      </c>
      <c r="L4" s="155">
        <v>8549628</v>
      </c>
      <c r="M4" s="161">
        <v>5699753.32</v>
      </c>
      <c r="N4" s="160">
        <v>0.6</v>
      </c>
      <c r="O4" s="155">
        <v>0</v>
      </c>
      <c r="P4" s="155">
        <v>2567417</v>
      </c>
      <c r="Q4" s="154">
        <v>2696400</v>
      </c>
      <c r="R4" s="154">
        <v>3285811</v>
      </c>
      <c r="S4" s="154">
        <v>0</v>
      </c>
      <c r="T4" s="154">
        <v>0</v>
      </c>
      <c r="U4" s="154">
        <v>0</v>
      </c>
      <c r="V4" s="154">
        <v>0</v>
      </c>
      <c r="W4" s="154">
        <v>0</v>
      </c>
      <c r="X4" s="154">
        <v>0</v>
      </c>
      <c r="Y4" s="302" t="b">
        <f aca="true" t="shared" si="0" ref="Y4:Y67">L4=SUM(O4:X4)</f>
        <v>1</v>
      </c>
      <c r="Z4" s="303">
        <f aca="true" t="shared" si="1" ref="Z4:Z67">ROUND(L4/K4,4)</f>
        <v>0.6</v>
      </c>
      <c r="AA4" s="304" t="b">
        <f aca="true" t="shared" si="2" ref="AA4:AA67">Z4=N4</f>
        <v>1</v>
      </c>
      <c r="AB4" s="304" t="b">
        <f aca="true" t="shared" si="3" ref="AB4:AB67">K4=L4+M4</f>
        <v>1</v>
      </c>
      <c r="AC4" s="201"/>
    </row>
    <row r="5" spans="1:29" s="153" customFormat="1" ht="24">
      <c r="A5" s="244">
        <v>3</v>
      </c>
      <c r="B5" s="156" t="s">
        <v>134</v>
      </c>
      <c r="C5" s="157" t="s">
        <v>48</v>
      </c>
      <c r="D5" s="158" t="s">
        <v>78</v>
      </c>
      <c r="E5" s="158" t="s">
        <v>192</v>
      </c>
      <c r="F5" s="156" t="s">
        <v>79</v>
      </c>
      <c r="G5" s="152" t="s">
        <v>85</v>
      </c>
      <c r="H5" s="156" t="s">
        <v>51</v>
      </c>
      <c r="I5" s="227">
        <v>2.6</v>
      </c>
      <c r="J5" s="159" t="s">
        <v>135</v>
      </c>
      <c r="K5" s="154">
        <v>6048803.34</v>
      </c>
      <c r="L5" s="155">
        <v>4234162</v>
      </c>
      <c r="M5" s="161">
        <v>1814641.3399999999</v>
      </c>
      <c r="N5" s="160">
        <v>0.7</v>
      </c>
      <c r="O5" s="155">
        <v>0</v>
      </c>
      <c r="P5" s="155">
        <v>0</v>
      </c>
      <c r="Q5" s="154">
        <v>0</v>
      </c>
      <c r="R5" s="154">
        <v>2263450</v>
      </c>
      <c r="S5" s="154">
        <v>1970712</v>
      </c>
      <c r="T5" s="154">
        <v>0</v>
      </c>
      <c r="U5" s="154">
        <v>0</v>
      </c>
      <c r="V5" s="154">
        <v>0</v>
      </c>
      <c r="W5" s="154">
        <v>0</v>
      </c>
      <c r="X5" s="154">
        <v>0</v>
      </c>
      <c r="Y5" s="302" t="b">
        <f t="shared" si="0"/>
        <v>1</v>
      </c>
      <c r="Z5" s="303">
        <f t="shared" si="1"/>
        <v>0.7</v>
      </c>
      <c r="AA5" s="304" t="b">
        <f t="shared" si="2"/>
        <v>1</v>
      </c>
      <c r="AB5" s="304" t="b">
        <f t="shared" si="3"/>
        <v>1</v>
      </c>
      <c r="AC5" s="201"/>
    </row>
    <row r="6" spans="1:29" s="153" customFormat="1" ht="24">
      <c r="A6" s="244">
        <v>4</v>
      </c>
      <c r="B6" s="156" t="s">
        <v>136</v>
      </c>
      <c r="C6" s="157" t="s">
        <v>48</v>
      </c>
      <c r="D6" s="158" t="s">
        <v>86</v>
      </c>
      <c r="E6" s="158" t="s">
        <v>193</v>
      </c>
      <c r="F6" s="156" t="s">
        <v>87</v>
      </c>
      <c r="G6" s="152" t="s">
        <v>88</v>
      </c>
      <c r="H6" s="156" t="s">
        <v>50</v>
      </c>
      <c r="I6" s="227">
        <v>0.9367000000000001</v>
      </c>
      <c r="J6" s="159" t="s">
        <v>137</v>
      </c>
      <c r="K6" s="154">
        <v>6078476.19</v>
      </c>
      <c r="L6" s="155">
        <v>3039238</v>
      </c>
      <c r="M6" s="161">
        <v>3039238.1900000004</v>
      </c>
      <c r="N6" s="160">
        <v>0.5</v>
      </c>
      <c r="O6" s="155">
        <v>0</v>
      </c>
      <c r="P6" s="155">
        <v>1950103</v>
      </c>
      <c r="Q6" s="154">
        <v>1089135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4">
        <v>0</v>
      </c>
      <c r="X6" s="154">
        <v>0</v>
      </c>
      <c r="Y6" s="302" t="b">
        <f t="shared" si="0"/>
        <v>1</v>
      </c>
      <c r="Z6" s="303">
        <f t="shared" si="1"/>
        <v>0.5</v>
      </c>
      <c r="AA6" s="304" t="b">
        <f t="shared" si="2"/>
        <v>1</v>
      </c>
      <c r="AB6" s="304" t="b">
        <f t="shared" si="3"/>
        <v>1</v>
      </c>
      <c r="AC6" s="201"/>
    </row>
    <row r="7" spans="1:29" s="153" customFormat="1" ht="36">
      <c r="A7" s="244">
        <v>5</v>
      </c>
      <c r="B7" s="156" t="s">
        <v>138</v>
      </c>
      <c r="C7" s="157" t="s">
        <v>48</v>
      </c>
      <c r="D7" s="158" t="s">
        <v>72</v>
      </c>
      <c r="E7" s="158" t="s">
        <v>190</v>
      </c>
      <c r="F7" s="156" t="s">
        <v>73</v>
      </c>
      <c r="G7" s="152" t="s">
        <v>90</v>
      </c>
      <c r="H7" s="156" t="s">
        <v>51</v>
      </c>
      <c r="I7" s="227">
        <v>1.35</v>
      </c>
      <c r="J7" s="159" t="s">
        <v>196</v>
      </c>
      <c r="K7" s="154">
        <v>6490651.33</v>
      </c>
      <c r="L7" s="155">
        <v>4162320</v>
      </c>
      <c r="M7" s="161">
        <v>2328331.33</v>
      </c>
      <c r="N7" s="160">
        <v>0.8</v>
      </c>
      <c r="O7" s="155">
        <v>0</v>
      </c>
      <c r="P7" s="155">
        <v>0</v>
      </c>
      <c r="Q7" s="154">
        <v>1262320</v>
      </c>
      <c r="R7" s="154">
        <v>2900000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302" t="b">
        <f t="shared" si="0"/>
        <v>1</v>
      </c>
      <c r="Z7" s="303">
        <f t="shared" si="1"/>
        <v>0.6413</v>
      </c>
      <c r="AA7" s="304" t="b">
        <f t="shared" si="2"/>
        <v>0</v>
      </c>
      <c r="AB7" s="304" t="b">
        <f t="shared" si="3"/>
        <v>1</v>
      </c>
      <c r="AC7" s="201"/>
    </row>
    <row r="8" spans="1:29" s="176" customFormat="1" ht="24">
      <c r="A8" s="244">
        <v>6</v>
      </c>
      <c r="B8" s="156" t="s">
        <v>139</v>
      </c>
      <c r="C8" s="157" t="s">
        <v>48</v>
      </c>
      <c r="D8" s="158" t="s">
        <v>94</v>
      </c>
      <c r="E8" s="158" t="s">
        <v>103</v>
      </c>
      <c r="F8" s="156" t="s">
        <v>95</v>
      </c>
      <c r="G8" s="152" t="s">
        <v>96</v>
      </c>
      <c r="H8" s="156" t="s">
        <v>51</v>
      </c>
      <c r="I8" s="227">
        <v>1.48182</v>
      </c>
      <c r="J8" s="159" t="s">
        <v>89</v>
      </c>
      <c r="K8" s="154">
        <v>5666460.25</v>
      </c>
      <c r="L8" s="155">
        <v>2833230</v>
      </c>
      <c r="M8" s="161">
        <v>2833230.25</v>
      </c>
      <c r="N8" s="160">
        <v>0.5</v>
      </c>
      <c r="O8" s="155">
        <v>0</v>
      </c>
      <c r="P8" s="155">
        <v>500000</v>
      </c>
      <c r="Q8" s="154">
        <v>1950000</v>
      </c>
      <c r="R8" s="154">
        <v>383230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302" t="b">
        <f t="shared" si="0"/>
        <v>1</v>
      </c>
      <c r="Z8" s="303">
        <f t="shared" si="1"/>
        <v>0.5</v>
      </c>
      <c r="AA8" s="304" t="b">
        <f t="shared" si="2"/>
        <v>1</v>
      </c>
      <c r="AB8" s="304" t="b">
        <f t="shared" si="3"/>
        <v>1</v>
      </c>
      <c r="AC8" s="200"/>
    </row>
    <row r="9" spans="1:29" s="153" customFormat="1" ht="24">
      <c r="A9" s="244">
        <v>7</v>
      </c>
      <c r="B9" s="156" t="s">
        <v>140</v>
      </c>
      <c r="C9" s="157" t="s">
        <v>48</v>
      </c>
      <c r="D9" s="158" t="s">
        <v>83</v>
      </c>
      <c r="E9" s="158" t="s">
        <v>194</v>
      </c>
      <c r="F9" s="156" t="s">
        <v>81</v>
      </c>
      <c r="G9" s="152" t="s">
        <v>100</v>
      </c>
      <c r="H9" s="156" t="s">
        <v>51</v>
      </c>
      <c r="I9" s="227">
        <v>0.74149</v>
      </c>
      <c r="J9" s="159" t="s">
        <v>197</v>
      </c>
      <c r="K9" s="154">
        <v>6658439.45</v>
      </c>
      <c r="L9" s="155">
        <v>3995063</v>
      </c>
      <c r="M9" s="161">
        <v>2663376.45</v>
      </c>
      <c r="N9" s="160">
        <v>0.6</v>
      </c>
      <c r="O9" s="155">
        <v>0</v>
      </c>
      <c r="P9" s="155">
        <v>0</v>
      </c>
      <c r="Q9" s="154">
        <v>0</v>
      </c>
      <c r="R9" s="154">
        <v>3995063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302" t="b">
        <f t="shared" si="0"/>
        <v>1</v>
      </c>
      <c r="Z9" s="303">
        <f t="shared" si="1"/>
        <v>0.6</v>
      </c>
      <c r="AA9" s="304" t="b">
        <f t="shared" si="2"/>
        <v>1</v>
      </c>
      <c r="AB9" s="304" t="b">
        <f t="shared" si="3"/>
        <v>1</v>
      </c>
      <c r="AC9" s="201"/>
    </row>
    <row r="10" spans="1:29" s="153" customFormat="1" ht="24">
      <c r="A10" s="244">
        <v>8</v>
      </c>
      <c r="B10" s="156" t="s">
        <v>171</v>
      </c>
      <c r="C10" s="157" t="s">
        <v>48</v>
      </c>
      <c r="D10" s="158" t="s">
        <v>72</v>
      </c>
      <c r="E10" s="158">
        <v>1818011</v>
      </c>
      <c r="F10" s="156" t="s">
        <v>143</v>
      </c>
      <c r="G10" s="152" t="s">
        <v>144</v>
      </c>
      <c r="H10" s="156" t="s">
        <v>50</v>
      </c>
      <c r="I10" s="227">
        <v>1.659</v>
      </c>
      <c r="J10" s="159" t="s">
        <v>309</v>
      </c>
      <c r="K10" s="154">
        <v>14745793.5</v>
      </c>
      <c r="L10" s="155">
        <v>11796634</v>
      </c>
      <c r="M10" s="161">
        <v>2949159.5</v>
      </c>
      <c r="N10" s="160">
        <v>0.8</v>
      </c>
      <c r="O10" s="155">
        <v>0</v>
      </c>
      <c r="P10" s="155">
        <v>0</v>
      </c>
      <c r="Q10" s="154">
        <v>219765.3500000001</v>
      </c>
      <c r="R10" s="154">
        <v>5634698</v>
      </c>
      <c r="S10" s="154">
        <v>5942170.65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302" t="b">
        <f t="shared" si="0"/>
        <v>1</v>
      </c>
      <c r="Z10" s="303">
        <f t="shared" si="1"/>
        <v>0.8</v>
      </c>
      <c r="AA10" s="304" t="b">
        <f t="shared" si="2"/>
        <v>1</v>
      </c>
      <c r="AB10" s="304" t="b">
        <f t="shared" si="3"/>
        <v>1</v>
      </c>
      <c r="AC10" s="201"/>
    </row>
    <row r="11" spans="1:29" s="153" customFormat="1" ht="24">
      <c r="A11" s="244">
        <v>9</v>
      </c>
      <c r="B11" s="156" t="s">
        <v>172</v>
      </c>
      <c r="C11" s="157" t="s">
        <v>48</v>
      </c>
      <c r="D11" s="158" t="s">
        <v>102</v>
      </c>
      <c r="E11" s="158">
        <v>1810052</v>
      </c>
      <c r="F11" s="156" t="s">
        <v>63</v>
      </c>
      <c r="G11" s="152" t="s">
        <v>145</v>
      </c>
      <c r="H11" s="156" t="s">
        <v>51</v>
      </c>
      <c r="I11" s="227">
        <v>2.73</v>
      </c>
      <c r="J11" s="159" t="s">
        <v>146</v>
      </c>
      <c r="K11" s="154">
        <v>7084998</v>
      </c>
      <c r="L11" s="155">
        <v>4250998</v>
      </c>
      <c r="M11" s="161">
        <v>2834000</v>
      </c>
      <c r="N11" s="160">
        <v>0.6</v>
      </c>
      <c r="O11" s="155">
        <v>0</v>
      </c>
      <c r="P11" s="155">
        <v>0</v>
      </c>
      <c r="Q11" s="154">
        <v>0</v>
      </c>
      <c r="R11" s="154">
        <v>174000</v>
      </c>
      <c r="S11" s="154">
        <v>4076998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302" t="b">
        <f t="shared" si="0"/>
        <v>1</v>
      </c>
      <c r="Z11" s="303">
        <f t="shared" si="1"/>
        <v>0.6</v>
      </c>
      <c r="AA11" s="304" t="b">
        <f t="shared" si="2"/>
        <v>1</v>
      </c>
      <c r="AB11" s="304" t="b">
        <f t="shared" si="3"/>
        <v>1</v>
      </c>
      <c r="AC11" s="201"/>
    </row>
    <row r="12" spans="1:29" s="153" customFormat="1" ht="48">
      <c r="A12" s="244">
        <v>10</v>
      </c>
      <c r="B12" s="156" t="s">
        <v>173</v>
      </c>
      <c r="C12" s="157" t="s">
        <v>48</v>
      </c>
      <c r="D12" s="158" t="s">
        <v>92</v>
      </c>
      <c r="E12" s="158">
        <v>1816072</v>
      </c>
      <c r="F12" s="156" t="s">
        <v>141</v>
      </c>
      <c r="G12" s="152" t="s">
        <v>147</v>
      </c>
      <c r="H12" s="156" t="s">
        <v>50</v>
      </c>
      <c r="I12" s="227">
        <v>0.995</v>
      </c>
      <c r="J12" s="159" t="s">
        <v>310</v>
      </c>
      <c r="K12" s="154">
        <v>3411222.9</v>
      </c>
      <c r="L12" s="155">
        <v>2132606</v>
      </c>
      <c r="M12" s="161">
        <v>1278616.9</v>
      </c>
      <c r="N12" s="160">
        <v>0.7</v>
      </c>
      <c r="O12" s="155">
        <v>0</v>
      </c>
      <c r="P12" s="155">
        <v>0</v>
      </c>
      <c r="Q12" s="154">
        <v>172606</v>
      </c>
      <c r="R12" s="154">
        <v>1960000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302" t="b">
        <f t="shared" si="0"/>
        <v>1</v>
      </c>
      <c r="Z12" s="303">
        <f t="shared" si="1"/>
        <v>0.6252</v>
      </c>
      <c r="AA12" s="304" t="b">
        <f t="shared" si="2"/>
        <v>0</v>
      </c>
      <c r="AB12" s="304" t="b">
        <f t="shared" si="3"/>
        <v>1</v>
      </c>
      <c r="AC12" s="201"/>
    </row>
    <row r="13" spans="1:29" s="153" customFormat="1" ht="24">
      <c r="A13" s="244">
        <v>11</v>
      </c>
      <c r="B13" s="156" t="s">
        <v>174</v>
      </c>
      <c r="C13" s="157" t="s">
        <v>48</v>
      </c>
      <c r="D13" s="158" t="s">
        <v>72</v>
      </c>
      <c r="E13" s="158">
        <v>1818011</v>
      </c>
      <c r="F13" s="156" t="s">
        <v>143</v>
      </c>
      <c r="G13" s="152" t="s">
        <v>148</v>
      </c>
      <c r="H13" s="156" t="s">
        <v>50</v>
      </c>
      <c r="I13" s="227">
        <v>0.5365</v>
      </c>
      <c r="J13" s="159" t="s">
        <v>311</v>
      </c>
      <c r="K13" s="154">
        <v>7255832.09</v>
      </c>
      <c r="L13" s="155">
        <v>5804665</v>
      </c>
      <c r="M13" s="161">
        <v>1451167.0899999999</v>
      </c>
      <c r="N13" s="160">
        <v>0.8</v>
      </c>
      <c r="O13" s="155">
        <v>0</v>
      </c>
      <c r="P13" s="155">
        <v>0</v>
      </c>
      <c r="Q13" s="154">
        <v>804665</v>
      </c>
      <c r="R13" s="154">
        <v>3000000</v>
      </c>
      <c r="S13" s="154">
        <v>2000000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302" t="b">
        <f t="shared" si="0"/>
        <v>1</v>
      </c>
      <c r="Z13" s="303">
        <f t="shared" si="1"/>
        <v>0.8</v>
      </c>
      <c r="AA13" s="304" t="b">
        <f t="shared" si="2"/>
        <v>1</v>
      </c>
      <c r="AB13" s="304" t="b">
        <f t="shared" si="3"/>
        <v>1</v>
      </c>
      <c r="AC13" s="201"/>
    </row>
    <row r="14" spans="1:29" s="153" customFormat="1" ht="24">
      <c r="A14" s="244">
        <v>12</v>
      </c>
      <c r="B14" s="156" t="s">
        <v>128</v>
      </c>
      <c r="C14" s="157" t="s">
        <v>48</v>
      </c>
      <c r="D14" s="158" t="s">
        <v>101</v>
      </c>
      <c r="E14" s="158">
        <v>1820043</v>
      </c>
      <c r="F14" s="156" t="s">
        <v>65</v>
      </c>
      <c r="G14" s="152" t="s">
        <v>149</v>
      </c>
      <c r="H14" s="156" t="s">
        <v>51</v>
      </c>
      <c r="I14" s="227">
        <v>1.582</v>
      </c>
      <c r="J14" s="159" t="s">
        <v>312</v>
      </c>
      <c r="K14" s="154">
        <v>5188482.19</v>
      </c>
      <c r="L14" s="155">
        <v>2594241</v>
      </c>
      <c r="M14" s="161">
        <v>2594241.1900000004</v>
      </c>
      <c r="N14" s="160">
        <v>0.5</v>
      </c>
      <c r="O14" s="155">
        <v>0</v>
      </c>
      <c r="P14" s="155">
        <v>0</v>
      </c>
      <c r="Q14" s="154">
        <v>0</v>
      </c>
      <c r="R14" s="154">
        <v>2594241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302" t="b">
        <f t="shared" si="0"/>
        <v>1</v>
      </c>
      <c r="Z14" s="303">
        <f t="shared" si="1"/>
        <v>0.5</v>
      </c>
      <c r="AA14" s="304" t="b">
        <f t="shared" si="2"/>
        <v>1</v>
      </c>
      <c r="AB14" s="304" t="b">
        <f t="shared" si="3"/>
        <v>1</v>
      </c>
      <c r="AC14" s="201"/>
    </row>
    <row r="15" spans="1:29" s="153" customFormat="1" ht="48">
      <c r="A15" s="244">
        <v>13</v>
      </c>
      <c r="B15" s="156" t="s">
        <v>175</v>
      </c>
      <c r="C15" s="157" t="s">
        <v>48</v>
      </c>
      <c r="D15" s="158" t="s">
        <v>150</v>
      </c>
      <c r="E15" s="158">
        <v>1803042</v>
      </c>
      <c r="F15" s="156" t="s">
        <v>142</v>
      </c>
      <c r="G15" s="152" t="s">
        <v>151</v>
      </c>
      <c r="H15" s="156" t="s">
        <v>51</v>
      </c>
      <c r="I15" s="227">
        <v>0.747</v>
      </c>
      <c r="J15" s="159" t="s">
        <v>313</v>
      </c>
      <c r="K15" s="154">
        <v>3832798.53</v>
      </c>
      <c r="L15" s="155">
        <v>1916399</v>
      </c>
      <c r="M15" s="161">
        <v>1916399.5299999998</v>
      </c>
      <c r="N15" s="160">
        <v>0.5</v>
      </c>
      <c r="O15" s="155">
        <v>0</v>
      </c>
      <c r="P15" s="155">
        <v>0</v>
      </c>
      <c r="Q15" s="154">
        <v>1916399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302" t="b">
        <f t="shared" si="0"/>
        <v>1</v>
      </c>
      <c r="Z15" s="303">
        <f t="shared" si="1"/>
        <v>0.5</v>
      </c>
      <c r="AA15" s="304" t="b">
        <f t="shared" si="2"/>
        <v>1</v>
      </c>
      <c r="AB15" s="304" t="b">
        <f t="shared" si="3"/>
        <v>1</v>
      </c>
      <c r="AC15" s="201"/>
    </row>
    <row r="16" spans="1:29" s="153" customFormat="1" ht="60">
      <c r="A16" s="244">
        <v>14</v>
      </c>
      <c r="B16" s="156" t="s">
        <v>176</v>
      </c>
      <c r="C16" s="157" t="s">
        <v>48</v>
      </c>
      <c r="D16" s="158" t="s">
        <v>80</v>
      </c>
      <c r="E16" s="158">
        <v>1807072</v>
      </c>
      <c r="F16" s="156" t="s">
        <v>61</v>
      </c>
      <c r="G16" s="152" t="s">
        <v>153</v>
      </c>
      <c r="H16" s="156" t="s">
        <v>50</v>
      </c>
      <c r="I16" s="227">
        <v>1.242</v>
      </c>
      <c r="J16" s="159" t="s">
        <v>314</v>
      </c>
      <c r="K16" s="154">
        <v>3518899.28</v>
      </c>
      <c r="L16" s="155">
        <v>2111339</v>
      </c>
      <c r="M16" s="161">
        <v>1407560.2799999998</v>
      </c>
      <c r="N16" s="160">
        <v>0.6</v>
      </c>
      <c r="O16" s="155">
        <v>0</v>
      </c>
      <c r="P16" s="155">
        <v>0</v>
      </c>
      <c r="Q16" s="154">
        <v>1259472</v>
      </c>
      <c r="R16" s="154">
        <v>851867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302" t="b">
        <f t="shared" si="0"/>
        <v>1</v>
      </c>
      <c r="Z16" s="303">
        <f t="shared" si="1"/>
        <v>0.6</v>
      </c>
      <c r="AA16" s="304" t="b">
        <f t="shared" si="2"/>
        <v>1</v>
      </c>
      <c r="AB16" s="304" t="b">
        <f t="shared" si="3"/>
        <v>1</v>
      </c>
      <c r="AC16" s="201"/>
    </row>
    <row r="17" spans="1:29" s="153" customFormat="1" ht="36">
      <c r="A17" s="244">
        <v>15</v>
      </c>
      <c r="B17" s="156" t="s">
        <v>177</v>
      </c>
      <c r="C17" s="157" t="s">
        <v>48</v>
      </c>
      <c r="D17" s="158" t="s">
        <v>154</v>
      </c>
      <c r="E17" s="158">
        <v>1815043</v>
      </c>
      <c r="F17" s="156" t="s">
        <v>152</v>
      </c>
      <c r="G17" s="152" t="s">
        <v>155</v>
      </c>
      <c r="H17" s="156" t="s">
        <v>51</v>
      </c>
      <c r="I17" s="227">
        <v>1.2815</v>
      </c>
      <c r="J17" s="159" t="s">
        <v>315</v>
      </c>
      <c r="K17" s="154">
        <v>3804667.11</v>
      </c>
      <c r="L17" s="155">
        <v>2663266</v>
      </c>
      <c r="M17" s="161">
        <v>1141401.1099999999</v>
      </c>
      <c r="N17" s="160">
        <v>0.7</v>
      </c>
      <c r="O17" s="155">
        <v>0</v>
      </c>
      <c r="P17" s="155">
        <v>0</v>
      </c>
      <c r="Q17" s="154">
        <v>236318</v>
      </c>
      <c r="R17" s="154">
        <v>2426948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302" t="b">
        <f t="shared" si="0"/>
        <v>1</v>
      </c>
      <c r="Z17" s="303">
        <f t="shared" si="1"/>
        <v>0.7</v>
      </c>
      <c r="AA17" s="304" t="b">
        <f t="shared" si="2"/>
        <v>1</v>
      </c>
      <c r="AB17" s="304" t="b">
        <f t="shared" si="3"/>
        <v>1</v>
      </c>
      <c r="AC17" s="201"/>
    </row>
    <row r="18" spans="1:29" s="153" customFormat="1" ht="60">
      <c r="A18" s="244">
        <v>16</v>
      </c>
      <c r="B18" s="156" t="s">
        <v>178</v>
      </c>
      <c r="C18" s="157" t="s">
        <v>48</v>
      </c>
      <c r="D18" s="158" t="s">
        <v>156</v>
      </c>
      <c r="E18" s="158">
        <v>1814053</v>
      </c>
      <c r="F18" s="156" t="s">
        <v>157</v>
      </c>
      <c r="G18" s="152" t="s">
        <v>158</v>
      </c>
      <c r="H18" s="156" t="s">
        <v>51</v>
      </c>
      <c r="I18" s="227">
        <v>1.72</v>
      </c>
      <c r="J18" s="159" t="s">
        <v>316</v>
      </c>
      <c r="K18" s="154">
        <v>4440220.98</v>
      </c>
      <c r="L18" s="155">
        <v>2664132</v>
      </c>
      <c r="M18" s="161">
        <v>1776088.9800000004</v>
      </c>
      <c r="N18" s="160">
        <v>0.6</v>
      </c>
      <c r="O18" s="155">
        <v>0</v>
      </c>
      <c r="P18" s="155">
        <v>0</v>
      </c>
      <c r="Q18" s="154">
        <v>0</v>
      </c>
      <c r="R18" s="154">
        <v>1433190</v>
      </c>
      <c r="S18" s="154">
        <v>1230942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302" t="b">
        <f t="shared" si="0"/>
        <v>1</v>
      </c>
      <c r="Z18" s="303">
        <f t="shared" si="1"/>
        <v>0.6</v>
      </c>
      <c r="AA18" s="304" t="b">
        <f t="shared" si="2"/>
        <v>1</v>
      </c>
      <c r="AB18" s="304" t="b">
        <f t="shared" si="3"/>
        <v>1</v>
      </c>
      <c r="AC18" s="201"/>
    </row>
    <row r="19" spans="1:29" s="153" customFormat="1" ht="24">
      <c r="A19" s="244">
        <v>17</v>
      </c>
      <c r="B19" s="156" t="s">
        <v>179</v>
      </c>
      <c r="C19" s="157" t="s">
        <v>48</v>
      </c>
      <c r="D19" s="158" t="s">
        <v>91</v>
      </c>
      <c r="E19" s="158">
        <v>1803011</v>
      </c>
      <c r="F19" s="156" t="s">
        <v>142</v>
      </c>
      <c r="G19" s="152" t="s">
        <v>159</v>
      </c>
      <c r="H19" s="156" t="s">
        <v>50</v>
      </c>
      <c r="I19" s="227">
        <v>2.09086</v>
      </c>
      <c r="J19" s="159" t="s">
        <v>317</v>
      </c>
      <c r="K19" s="154">
        <v>12140502.69</v>
      </c>
      <c r="L19" s="155">
        <v>6070251</v>
      </c>
      <c r="M19" s="161">
        <v>6070251.6899999995</v>
      </c>
      <c r="N19" s="160">
        <v>0.5</v>
      </c>
      <c r="O19" s="155">
        <v>0</v>
      </c>
      <c r="P19" s="155">
        <v>0</v>
      </c>
      <c r="Q19" s="154">
        <v>2200000</v>
      </c>
      <c r="R19" s="154">
        <v>3293294</v>
      </c>
      <c r="S19" s="154">
        <v>576957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302" t="b">
        <f t="shared" si="0"/>
        <v>1</v>
      </c>
      <c r="Z19" s="303">
        <f t="shared" si="1"/>
        <v>0.5</v>
      </c>
      <c r="AA19" s="304" t="b">
        <f t="shared" si="2"/>
        <v>1</v>
      </c>
      <c r="AB19" s="304" t="b">
        <f t="shared" si="3"/>
        <v>1</v>
      </c>
      <c r="AC19" s="201"/>
    </row>
    <row r="20" spans="1:29" s="153" customFormat="1" ht="24">
      <c r="A20" s="244">
        <v>18</v>
      </c>
      <c r="B20" s="156" t="s">
        <v>180</v>
      </c>
      <c r="C20" s="157" t="s">
        <v>48</v>
      </c>
      <c r="D20" s="158" t="s">
        <v>82</v>
      </c>
      <c r="E20" s="158">
        <v>1808053</v>
      </c>
      <c r="F20" s="156" t="s">
        <v>64</v>
      </c>
      <c r="G20" s="152" t="s">
        <v>160</v>
      </c>
      <c r="H20" s="156" t="s">
        <v>50</v>
      </c>
      <c r="I20" s="227">
        <v>2.3</v>
      </c>
      <c r="J20" s="159" t="s">
        <v>119</v>
      </c>
      <c r="K20" s="154">
        <v>3643276.95</v>
      </c>
      <c r="L20" s="155">
        <v>2914621</v>
      </c>
      <c r="M20" s="161">
        <v>728655.9500000002</v>
      </c>
      <c r="N20" s="160">
        <v>0.8</v>
      </c>
      <c r="O20" s="155">
        <v>0</v>
      </c>
      <c r="P20" s="155">
        <v>0</v>
      </c>
      <c r="Q20" s="154">
        <v>1173679</v>
      </c>
      <c r="R20" s="154">
        <v>0</v>
      </c>
      <c r="S20" s="154">
        <v>1740942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302" t="b">
        <f t="shared" si="0"/>
        <v>1</v>
      </c>
      <c r="Z20" s="303">
        <f t="shared" si="1"/>
        <v>0.8</v>
      </c>
      <c r="AA20" s="304" t="b">
        <f t="shared" si="2"/>
        <v>1</v>
      </c>
      <c r="AB20" s="304" t="b">
        <f t="shared" si="3"/>
        <v>1</v>
      </c>
      <c r="AC20" s="201"/>
    </row>
    <row r="21" spans="1:29" s="153" customFormat="1" ht="36">
      <c r="A21" s="244">
        <v>19</v>
      </c>
      <c r="B21" s="156" t="s">
        <v>181</v>
      </c>
      <c r="C21" s="157" t="s">
        <v>48</v>
      </c>
      <c r="D21" s="158" t="s">
        <v>78</v>
      </c>
      <c r="E21" s="158">
        <v>1810042</v>
      </c>
      <c r="F21" s="156" t="s">
        <v>63</v>
      </c>
      <c r="G21" s="152" t="s">
        <v>161</v>
      </c>
      <c r="H21" s="156" t="s">
        <v>51</v>
      </c>
      <c r="I21" s="227">
        <v>4.38373</v>
      </c>
      <c r="J21" s="159" t="s">
        <v>162</v>
      </c>
      <c r="K21" s="154">
        <v>10908326.41</v>
      </c>
      <c r="L21" s="155">
        <v>6544995</v>
      </c>
      <c r="M21" s="161">
        <v>4363331.41</v>
      </c>
      <c r="N21" s="160">
        <v>0.6</v>
      </c>
      <c r="O21" s="155">
        <v>0</v>
      </c>
      <c r="P21" s="155">
        <v>0</v>
      </c>
      <c r="Q21" s="154">
        <v>1800000</v>
      </c>
      <c r="R21" s="154">
        <v>2049326</v>
      </c>
      <c r="S21" s="154">
        <v>2695669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302" t="b">
        <f t="shared" si="0"/>
        <v>1</v>
      </c>
      <c r="Z21" s="303">
        <f t="shared" si="1"/>
        <v>0.6</v>
      </c>
      <c r="AA21" s="304" t="b">
        <f t="shared" si="2"/>
        <v>1</v>
      </c>
      <c r="AB21" s="304" t="b">
        <f t="shared" si="3"/>
        <v>1</v>
      </c>
      <c r="AC21" s="201"/>
    </row>
    <row r="22" spans="1:29" s="153" customFormat="1" ht="24">
      <c r="A22" s="244">
        <v>20</v>
      </c>
      <c r="B22" s="156" t="s">
        <v>182</v>
      </c>
      <c r="C22" s="157" t="s">
        <v>48</v>
      </c>
      <c r="D22" s="158" t="s">
        <v>84</v>
      </c>
      <c r="E22" s="158">
        <v>1803063</v>
      </c>
      <c r="F22" s="156" t="s">
        <v>142</v>
      </c>
      <c r="G22" s="152" t="s">
        <v>163</v>
      </c>
      <c r="H22" s="156" t="s">
        <v>50</v>
      </c>
      <c r="I22" s="227">
        <v>0.786</v>
      </c>
      <c r="J22" s="159" t="s">
        <v>164</v>
      </c>
      <c r="K22" s="154">
        <v>1398907.02</v>
      </c>
      <c r="L22" s="155">
        <v>839344</v>
      </c>
      <c r="M22" s="161">
        <v>559563.02</v>
      </c>
      <c r="N22" s="160">
        <v>0.6</v>
      </c>
      <c r="O22" s="155">
        <v>0</v>
      </c>
      <c r="P22" s="155">
        <v>0</v>
      </c>
      <c r="Q22" s="154">
        <v>839344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302" t="b">
        <f t="shared" si="0"/>
        <v>1</v>
      </c>
      <c r="Z22" s="303">
        <f t="shared" si="1"/>
        <v>0.6</v>
      </c>
      <c r="AA22" s="304" t="b">
        <f t="shared" si="2"/>
        <v>1</v>
      </c>
      <c r="AB22" s="304" t="b">
        <f t="shared" si="3"/>
        <v>1</v>
      </c>
      <c r="AC22" s="201"/>
    </row>
    <row r="23" spans="1:29" s="153" customFormat="1" ht="36">
      <c r="A23" s="244">
        <v>21</v>
      </c>
      <c r="B23" s="156" t="s">
        <v>183</v>
      </c>
      <c r="C23" s="157" t="s">
        <v>48</v>
      </c>
      <c r="D23" s="158" t="s">
        <v>97</v>
      </c>
      <c r="E23" s="158">
        <v>1818042</v>
      </c>
      <c r="F23" s="156" t="s">
        <v>143</v>
      </c>
      <c r="G23" s="152" t="s">
        <v>165</v>
      </c>
      <c r="H23" s="156" t="s">
        <v>50</v>
      </c>
      <c r="I23" s="227">
        <v>4.658</v>
      </c>
      <c r="J23" s="159" t="s">
        <v>130</v>
      </c>
      <c r="K23" s="154">
        <v>3059169.91</v>
      </c>
      <c r="L23" s="155">
        <v>1529584</v>
      </c>
      <c r="M23" s="161">
        <v>1529585.9100000001</v>
      </c>
      <c r="N23" s="160">
        <v>0.5</v>
      </c>
      <c r="O23" s="155">
        <v>0</v>
      </c>
      <c r="P23" s="155">
        <v>0</v>
      </c>
      <c r="Q23" s="154">
        <v>500000</v>
      </c>
      <c r="R23" s="154">
        <v>500000</v>
      </c>
      <c r="S23" s="154">
        <v>529584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302" t="b">
        <f t="shared" si="0"/>
        <v>1</v>
      </c>
      <c r="Z23" s="303">
        <f t="shared" si="1"/>
        <v>0.5</v>
      </c>
      <c r="AA23" s="304" t="b">
        <f t="shared" si="2"/>
        <v>1</v>
      </c>
      <c r="AB23" s="304" t="b">
        <f t="shared" si="3"/>
        <v>1</v>
      </c>
      <c r="AC23" s="201"/>
    </row>
    <row r="24" spans="1:29" s="176" customFormat="1" ht="36">
      <c r="A24" s="244">
        <v>22</v>
      </c>
      <c r="B24" s="156" t="s">
        <v>184</v>
      </c>
      <c r="C24" s="157" t="s">
        <v>48</v>
      </c>
      <c r="D24" s="158" t="s">
        <v>93</v>
      </c>
      <c r="E24" s="158">
        <v>1810072</v>
      </c>
      <c r="F24" s="156" t="s">
        <v>63</v>
      </c>
      <c r="G24" s="152" t="s">
        <v>166</v>
      </c>
      <c r="H24" s="156" t="s">
        <v>50</v>
      </c>
      <c r="I24" s="227">
        <v>1.42754</v>
      </c>
      <c r="J24" s="159" t="s">
        <v>167</v>
      </c>
      <c r="K24" s="154">
        <v>3511291.43</v>
      </c>
      <c r="L24" s="155">
        <v>2106774</v>
      </c>
      <c r="M24" s="161">
        <v>1404517.4300000002</v>
      </c>
      <c r="N24" s="160">
        <v>0.6</v>
      </c>
      <c r="O24" s="155">
        <v>0</v>
      </c>
      <c r="P24" s="155">
        <v>0</v>
      </c>
      <c r="Q24" s="154">
        <v>1158907</v>
      </c>
      <c r="R24" s="154">
        <v>947867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302" t="b">
        <f t="shared" si="0"/>
        <v>1</v>
      </c>
      <c r="Z24" s="303">
        <f t="shared" si="1"/>
        <v>0.6</v>
      </c>
      <c r="AA24" s="304" t="b">
        <f t="shared" si="2"/>
        <v>1</v>
      </c>
      <c r="AB24" s="304" t="b">
        <f t="shared" si="3"/>
        <v>1</v>
      </c>
      <c r="AC24" s="200"/>
    </row>
    <row r="25" spans="1:29" s="211" customFormat="1" ht="24">
      <c r="A25" s="245" t="s">
        <v>429</v>
      </c>
      <c r="B25" s="204" t="s">
        <v>185</v>
      </c>
      <c r="C25" s="205" t="s">
        <v>48</v>
      </c>
      <c r="D25" s="206" t="s">
        <v>94</v>
      </c>
      <c r="E25" s="206">
        <v>1861011</v>
      </c>
      <c r="F25" s="204" t="s">
        <v>168</v>
      </c>
      <c r="G25" s="207" t="s">
        <v>169</v>
      </c>
      <c r="H25" s="204" t="s">
        <v>51</v>
      </c>
      <c r="I25" s="228">
        <v>0.48806</v>
      </c>
      <c r="J25" s="208" t="s">
        <v>170</v>
      </c>
      <c r="K25" s="197">
        <v>3052313.53</v>
      </c>
      <c r="L25" s="198">
        <v>833971.65</v>
      </c>
      <c r="M25" s="199">
        <v>2218341.8800000013</v>
      </c>
      <c r="N25" s="209">
        <v>0.5</v>
      </c>
      <c r="O25" s="198">
        <v>0</v>
      </c>
      <c r="P25" s="198">
        <v>0</v>
      </c>
      <c r="Q25" s="197">
        <v>265041</v>
      </c>
      <c r="R25" s="197">
        <v>243330.65</v>
      </c>
      <c r="S25" s="197">
        <v>325600</v>
      </c>
      <c r="T25" s="197">
        <v>0</v>
      </c>
      <c r="U25" s="197">
        <v>0</v>
      </c>
      <c r="V25" s="197">
        <v>0</v>
      </c>
      <c r="W25" s="197">
        <v>0</v>
      </c>
      <c r="X25" s="197">
        <v>0</v>
      </c>
      <c r="Y25" s="302" t="b">
        <f t="shared" si="0"/>
        <v>1</v>
      </c>
      <c r="Z25" s="303">
        <f t="shared" si="1"/>
        <v>0.2732</v>
      </c>
      <c r="AA25" s="304" t="b">
        <f t="shared" si="2"/>
        <v>0</v>
      </c>
      <c r="AB25" s="304" t="b">
        <f t="shared" si="3"/>
        <v>1</v>
      </c>
      <c r="AC25" s="210"/>
    </row>
    <row r="26" spans="1:29" s="153" customFormat="1" ht="96">
      <c r="A26" s="244">
        <v>24</v>
      </c>
      <c r="B26" s="156" t="s">
        <v>318</v>
      </c>
      <c r="C26" s="157" t="s">
        <v>57</v>
      </c>
      <c r="D26" s="158" t="s">
        <v>319</v>
      </c>
      <c r="E26" s="158">
        <v>1816132</v>
      </c>
      <c r="F26" s="156" t="s">
        <v>76</v>
      </c>
      <c r="G26" s="152" t="s">
        <v>320</v>
      </c>
      <c r="H26" s="156" t="s">
        <v>51</v>
      </c>
      <c r="I26" s="227">
        <v>0.6673600000000001</v>
      </c>
      <c r="J26" s="159" t="s">
        <v>235</v>
      </c>
      <c r="K26" s="154">
        <v>8500000</v>
      </c>
      <c r="L26" s="155">
        <v>4250000</v>
      </c>
      <c r="M26" s="161">
        <v>4250000</v>
      </c>
      <c r="N26" s="160">
        <v>0.5</v>
      </c>
      <c r="O26" s="155">
        <v>0</v>
      </c>
      <c r="P26" s="155">
        <v>0</v>
      </c>
      <c r="Q26" s="155">
        <v>0</v>
      </c>
      <c r="R26" s="155">
        <v>2125000</v>
      </c>
      <c r="S26" s="155">
        <v>2125000</v>
      </c>
      <c r="T26" s="154">
        <v>0</v>
      </c>
      <c r="U26" s="154">
        <v>0</v>
      </c>
      <c r="V26" s="154">
        <v>0</v>
      </c>
      <c r="W26" s="154">
        <v>0</v>
      </c>
      <c r="X26" s="154">
        <v>0</v>
      </c>
      <c r="Y26" s="302" t="b">
        <f t="shared" si="0"/>
        <v>1</v>
      </c>
      <c r="Z26" s="303">
        <f t="shared" si="1"/>
        <v>0.5</v>
      </c>
      <c r="AA26" s="304" t="b">
        <f t="shared" si="2"/>
        <v>1</v>
      </c>
      <c r="AB26" s="304" t="b">
        <f t="shared" si="3"/>
        <v>1</v>
      </c>
      <c r="AC26" s="201"/>
    </row>
    <row r="27" spans="1:29" s="153" customFormat="1" ht="36">
      <c r="A27" s="244">
        <v>25</v>
      </c>
      <c r="B27" s="156" t="s">
        <v>321</v>
      </c>
      <c r="C27" s="157" t="s">
        <v>57</v>
      </c>
      <c r="D27" s="158" t="s">
        <v>322</v>
      </c>
      <c r="E27" s="158">
        <v>1861011</v>
      </c>
      <c r="F27" s="156" t="s">
        <v>94</v>
      </c>
      <c r="G27" s="152" t="s">
        <v>323</v>
      </c>
      <c r="H27" s="156" t="s">
        <v>51</v>
      </c>
      <c r="I27" s="227">
        <v>0.2953</v>
      </c>
      <c r="J27" s="159" t="s">
        <v>324</v>
      </c>
      <c r="K27" s="154">
        <v>4199638.77</v>
      </c>
      <c r="L27" s="155">
        <v>2099819</v>
      </c>
      <c r="M27" s="161">
        <v>2099819.7699999996</v>
      </c>
      <c r="N27" s="160">
        <v>0.5</v>
      </c>
      <c r="O27" s="155">
        <v>0</v>
      </c>
      <c r="P27" s="155">
        <v>0</v>
      </c>
      <c r="Q27" s="155">
        <v>0</v>
      </c>
      <c r="R27" s="155">
        <v>1050535</v>
      </c>
      <c r="S27" s="155">
        <v>1049284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302" t="b">
        <f t="shared" si="0"/>
        <v>1</v>
      </c>
      <c r="Z27" s="303">
        <f t="shared" si="1"/>
        <v>0.5</v>
      </c>
      <c r="AA27" s="304" t="b">
        <f t="shared" si="2"/>
        <v>1</v>
      </c>
      <c r="AB27" s="304" t="b">
        <f t="shared" si="3"/>
        <v>1</v>
      </c>
      <c r="AC27" s="201"/>
    </row>
    <row r="28" spans="1:29" s="153" customFormat="1" ht="36">
      <c r="A28" s="244">
        <v>26</v>
      </c>
      <c r="B28" s="156" t="s">
        <v>282</v>
      </c>
      <c r="C28" s="157" t="s">
        <v>57</v>
      </c>
      <c r="D28" s="158" t="s">
        <v>83</v>
      </c>
      <c r="E28" s="158">
        <v>1815043</v>
      </c>
      <c r="F28" s="156" t="s">
        <v>325</v>
      </c>
      <c r="G28" s="152" t="s">
        <v>326</v>
      </c>
      <c r="H28" s="156" t="s">
        <v>51</v>
      </c>
      <c r="I28" s="227">
        <v>4.370299999999999</v>
      </c>
      <c r="J28" s="159" t="s">
        <v>327</v>
      </c>
      <c r="K28" s="154">
        <v>13208792.29</v>
      </c>
      <c r="L28" s="155">
        <f>INT(K28*N28)</f>
        <v>9246154</v>
      </c>
      <c r="M28" s="161">
        <f>K28-L28</f>
        <v>3962638.289999999</v>
      </c>
      <c r="N28" s="160">
        <v>0.7</v>
      </c>
      <c r="O28" s="155">
        <v>0</v>
      </c>
      <c r="P28" s="155">
        <v>0</v>
      </c>
      <c r="Q28" s="155">
        <v>0</v>
      </c>
      <c r="R28" s="155">
        <v>0</v>
      </c>
      <c r="S28" s="155">
        <v>4200000</v>
      </c>
      <c r="T28" s="154">
        <f>L28-S28</f>
        <v>5046154</v>
      </c>
      <c r="U28" s="154">
        <v>0</v>
      </c>
      <c r="V28" s="154">
        <v>0</v>
      </c>
      <c r="W28" s="154">
        <v>0</v>
      </c>
      <c r="X28" s="154">
        <v>0</v>
      </c>
      <c r="Y28" s="302" t="b">
        <f t="shared" si="0"/>
        <v>1</v>
      </c>
      <c r="Z28" s="303">
        <f t="shared" si="1"/>
        <v>0.7</v>
      </c>
      <c r="AA28" s="304" t="b">
        <f t="shared" si="2"/>
        <v>1</v>
      </c>
      <c r="AB28" s="304" t="b">
        <f t="shared" si="3"/>
        <v>1</v>
      </c>
      <c r="AC28" s="201"/>
    </row>
    <row r="29" spans="1:29" s="153" customFormat="1" ht="60">
      <c r="A29" s="244">
        <v>27</v>
      </c>
      <c r="B29" s="156" t="s">
        <v>328</v>
      </c>
      <c r="C29" s="157" t="s">
        <v>57</v>
      </c>
      <c r="D29" s="158" t="s">
        <v>78</v>
      </c>
      <c r="E29" s="158">
        <v>1810042</v>
      </c>
      <c r="F29" s="156" t="s">
        <v>79</v>
      </c>
      <c r="G29" s="152" t="s">
        <v>329</v>
      </c>
      <c r="H29" s="156" t="s">
        <v>51</v>
      </c>
      <c r="I29" s="227">
        <v>6.198600000000001</v>
      </c>
      <c r="J29" s="159" t="s">
        <v>330</v>
      </c>
      <c r="K29" s="154">
        <v>16340652.21</v>
      </c>
      <c r="L29" s="155">
        <v>8170326</v>
      </c>
      <c r="M29" s="161">
        <v>8170326.210000001</v>
      </c>
      <c r="N29" s="160">
        <v>0.5</v>
      </c>
      <c r="O29" s="155">
        <v>0</v>
      </c>
      <c r="P29" s="155">
        <v>0</v>
      </c>
      <c r="Q29" s="155">
        <v>0</v>
      </c>
      <c r="R29" s="155">
        <v>155000</v>
      </c>
      <c r="S29" s="155">
        <v>1750000</v>
      </c>
      <c r="T29" s="154">
        <v>2750000</v>
      </c>
      <c r="U29" s="154">
        <v>3515326</v>
      </c>
      <c r="V29" s="154">
        <v>0</v>
      </c>
      <c r="W29" s="154">
        <v>0</v>
      </c>
      <c r="X29" s="154">
        <v>0</v>
      </c>
      <c r="Y29" s="302" t="b">
        <f t="shared" si="0"/>
        <v>1</v>
      </c>
      <c r="Z29" s="303">
        <f t="shared" si="1"/>
        <v>0.5</v>
      </c>
      <c r="AA29" s="304" t="b">
        <f t="shared" si="2"/>
        <v>1</v>
      </c>
      <c r="AB29" s="304" t="b">
        <f t="shared" si="3"/>
        <v>1</v>
      </c>
      <c r="AC29" s="201"/>
    </row>
    <row r="30" spans="1:29" s="153" customFormat="1" ht="48">
      <c r="A30" s="244">
        <v>28</v>
      </c>
      <c r="B30" s="156" t="s">
        <v>331</v>
      </c>
      <c r="C30" s="157" t="s">
        <v>57</v>
      </c>
      <c r="D30" s="158" t="s">
        <v>319</v>
      </c>
      <c r="E30" s="158">
        <v>1816132</v>
      </c>
      <c r="F30" s="156" t="s">
        <v>76</v>
      </c>
      <c r="G30" s="152" t="s">
        <v>332</v>
      </c>
      <c r="H30" s="156" t="s">
        <v>51</v>
      </c>
      <c r="I30" s="227">
        <v>0.79647</v>
      </c>
      <c r="J30" s="159" t="s">
        <v>333</v>
      </c>
      <c r="K30" s="154">
        <v>6700000</v>
      </c>
      <c r="L30" s="155">
        <v>3350000</v>
      </c>
      <c r="M30" s="161">
        <v>3350000</v>
      </c>
      <c r="N30" s="160">
        <v>0.5</v>
      </c>
      <c r="O30" s="155">
        <v>0</v>
      </c>
      <c r="P30" s="155">
        <v>0</v>
      </c>
      <c r="Q30" s="155">
        <v>0</v>
      </c>
      <c r="R30" s="154">
        <v>1675000</v>
      </c>
      <c r="S30" s="154">
        <v>1675000</v>
      </c>
      <c r="T30" s="154">
        <v>0</v>
      </c>
      <c r="U30" s="154">
        <v>0</v>
      </c>
      <c r="V30" s="154">
        <v>0</v>
      </c>
      <c r="W30" s="154">
        <v>0</v>
      </c>
      <c r="X30" s="154">
        <v>0</v>
      </c>
      <c r="Y30" s="302" t="b">
        <f t="shared" si="0"/>
        <v>1</v>
      </c>
      <c r="Z30" s="303">
        <f t="shared" si="1"/>
        <v>0.5</v>
      </c>
      <c r="AA30" s="304" t="b">
        <f t="shared" si="2"/>
        <v>1</v>
      </c>
      <c r="AB30" s="304" t="b">
        <f t="shared" si="3"/>
        <v>1</v>
      </c>
      <c r="AC30" s="201"/>
    </row>
    <row r="31" spans="1:29" s="153" customFormat="1" ht="24">
      <c r="A31" s="244">
        <v>29</v>
      </c>
      <c r="B31" s="156" t="s">
        <v>334</v>
      </c>
      <c r="C31" s="157" t="s">
        <v>57</v>
      </c>
      <c r="D31" s="158" t="s">
        <v>335</v>
      </c>
      <c r="E31" s="158">
        <v>1804062</v>
      </c>
      <c r="F31" s="156" t="s">
        <v>87</v>
      </c>
      <c r="G31" s="152" t="s">
        <v>336</v>
      </c>
      <c r="H31" s="156" t="s">
        <v>50</v>
      </c>
      <c r="I31" s="227">
        <v>0.999</v>
      </c>
      <c r="J31" s="159" t="s">
        <v>337</v>
      </c>
      <c r="K31" s="154">
        <v>3746482.63</v>
      </c>
      <c r="L31" s="155">
        <v>2247889</v>
      </c>
      <c r="M31" s="161">
        <v>1498593.63</v>
      </c>
      <c r="N31" s="160">
        <v>0.6</v>
      </c>
      <c r="O31" s="155">
        <v>0</v>
      </c>
      <c r="P31" s="155">
        <v>0</v>
      </c>
      <c r="Q31" s="155">
        <v>0</v>
      </c>
      <c r="R31" s="154">
        <v>947618</v>
      </c>
      <c r="S31" s="154">
        <v>280945</v>
      </c>
      <c r="T31" s="154">
        <v>1019326</v>
      </c>
      <c r="U31" s="154">
        <v>0</v>
      </c>
      <c r="V31" s="154">
        <v>0</v>
      </c>
      <c r="W31" s="154">
        <v>0</v>
      </c>
      <c r="X31" s="154">
        <v>0</v>
      </c>
      <c r="Y31" s="302" t="b">
        <f t="shared" si="0"/>
        <v>1</v>
      </c>
      <c r="Z31" s="303">
        <f t="shared" si="1"/>
        <v>0.6</v>
      </c>
      <c r="AA31" s="304" t="b">
        <f t="shared" si="2"/>
        <v>1</v>
      </c>
      <c r="AB31" s="304" t="b">
        <f t="shared" si="3"/>
        <v>1</v>
      </c>
      <c r="AC31" s="201"/>
    </row>
    <row r="32" spans="1:29" s="172" customFormat="1" ht="36">
      <c r="A32" s="246">
        <v>30</v>
      </c>
      <c r="B32" s="146" t="s">
        <v>236</v>
      </c>
      <c r="C32" s="147" t="s">
        <v>56</v>
      </c>
      <c r="D32" s="148" t="s">
        <v>338</v>
      </c>
      <c r="E32" s="148">
        <v>1804032</v>
      </c>
      <c r="F32" s="146" t="s">
        <v>87</v>
      </c>
      <c r="G32" s="41" t="s">
        <v>339</v>
      </c>
      <c r="H32" s="146" t="s">
        <v>50</v>
      </c>
      <c r="I32" s="229">
        <v>0.699</v>
      </c>
      <c r="J32" s="149" t="s">
        <v>340</v>
      </c>
      <c r="K32" s="162">
        <v>1172045.58</v>
      </c>
      <c r="L32" s="163">
        <v>703227</v>
      </c>
      <c r="M32" s="164">
        <v>468818.5800000001</v>
      </c>
      <c r="N32" s="150">
        <v>0.6</v>
      </c>
      <c r="O32" s="163">
        <v>0</v>
      </c>
      <c r="P32" s="163">
        <v>0</v>
      </c>
      <c r="Q32" s="163">
        <v>0</v>
      </c>
      <c r="R32" s="162">
        <v>703227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302" t="b">
        <f t="shared" si="0"/>
        <v>1</v>
      </c>
      <c r="Z32" s="303">
        <f t="shared" si="1"/>
        <v>0.6</v>
      </c>
      <c r="AA32" s="304" t="b">
        <f t="shared" si="2"/>
        <v>1</v>
      </c>
      <c r="AB32" s="304" t="b">
        <f t="shared" si="3"/>
        <v>1</v>
      </c>
      <c r="AC32" s="202"/>
    </row>
    <row r="33" spans="1:29" s="172" customFormat="1" ht="24">
      <c r="A33" s="246">
        <v>31</v>
      </c>
      <c r="B33" s="146" t="s">
        <v>341</v>
      </c>
      <c r="C33" s="147" t="s">
        <v>56</v>
      </c>
      <c r="D33" s="148" t="s">
        <v>342</v>
      </c>
      <c r="E33" s="148">
        <v>1813032</v>
      </c>
      <c r="F33" s="146" t="s">
        <v>343</v>
      </c>
      <c r="G33" s="41" t="s">
        <v>344</v>
      </c>
      <c r="H33" s="146" t="s">
        <v>50</v>
      </c>
      <c r="I33" s="229">
        <v>0.836</v>
      </c>
      <c r="J33" s="149" t="s">
        <v>345</v>
      </c>
      <c r="K33" s="162">
        <v>581727.53</v>
      </c>
      <c r="L33" s="163">
        <v>290863</v>
      </c>
      <c r="M33" s="164">
        <v>290864.53</v>
      </c>
      <c r="N33" s="150">
        <v>0.5</v>
      </c>
      <c r="O33" s="163">
        <v>0</v>
      </c>
      <c r="P33" s="163">
        <v>0</v>
      </c>
      <c r="Q33" s="163">
        <v>0</v>
      </c>
      <c r="R33" s="162">
        <v>290863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302" t="b">
        <f t="shared" si="0"/>
        <v>1</v>
      </c>
      <c r="Z33" s="303">
        <f t="shared" si="1"/>
        <v>0.5</v>
      </c>
      <c r="AA33" s="304" t="b">
        <f t="shared" si="2"/>
        <v>1</v>
      </c>
      <c r="AB33" s="304" t="b">
        <f t="shared" si="3"/>
        <v>1</v>
      </c>
      <c r="AC33" s="202"/>
    </row>
    <row r="34" spans="1:29" s="172" customFormat="1" ht="24">
      <c r="A34" s="246">
        <v>32</v>
      </c>
      <c r="B34" s="146" t="s">
        <v>346</v>
      </c>
      <c r="C34" s="147" t="s">
        <v>56</v>
      </c>
      <c r="D34" s="148" t="s">
        <v>347</v>
      </c>
      <c r="E34" s="148">
        <v>1805032</v>
      </c>
      <c r="F34" s="146" t="s">
        <v>348</v>
      </c>
      <c r="G34" s="41" t="s">
        <v>349</v>
      </c>
      <c r="H34" s="146" t="s">
        <v>71</v>
      </c>
      <c r="I34" s="229">
        <v>0.863</v>
      </c>
      <c r="J34" s="149" t="s">
        <v>350</v>
      </c>
      <c r="K34" s="162">
        <v>527039.99</v>
      </c>
      <c r="L34" s="163">
        <v>316223</v>
      </c>
      <c r="M34" s="164">
        <v>210816.99</v>
      </c>
      <c r="N34" s="150">
        <v>0.6</v>
      </c>
      <c r="O34" s="163">
        <v>0</v>
      </c>
      <c r="P34" s="163">
        <v>0</v>
      </c>
      <c r="Q34" s="163">
        <v>0</v>
      </c>
      <c r="R34" s="162">
        <v>316223</v>
      </c>
      <c r="S34" s="162">
        <v>0</v>
      </c>
      <c r="T34" s="162">
        <v>0</v>
      </c>
      <c r="U34" s="162">
        <v>0</v>
      </c>
      <c r="V34" s="162">
        <v>0</v>
      </c>
      <c r="W34" s="162">
        <v>0</v>
      </c>
      <c r="X34" s="162">
        <v>0</v>
      </c>
      <c r="Y34" s="302" t="b">
        <f t="shared" si="0"/>
        <v>1</v>
      </c>
      <c r="Z34" s="303">
        <f t="shared" si="1"/>
        <v>0.6</v>
      </c>
      <c r="AA34" s="304" t="b">
        <f t="shared" si="2"/>
        <v>1</v>
      </c>
      <c r="AB34" s="304" t="b">
        <f t="shared" si="3"/>
        <v>1</v>
      </c>
      <c r="AC34" s="202"/>
    </row>
    <row r="35" spans="1:29" s="153" customFormat="1" ht="48">
      <c r="A35" s="244">
        <v>33</v>
      </c>
      <c r="B35" s="156" t="s">
        <v>351</v>
      </c>
      <c r="C35" s="157" t="s">
        <v>57</v>
      </c>
      <c r="D35" s="158" t="s">
        <v>352</v>
      </c>
      <c r="E35" s="158">
        <v>1807092</v>
      </c>
      <c r="F35" s="156" t="s">
        <v>353</v>
      </c>
      <c r="G35" s="152" t="s">
        <v>354</v>
      </c>
      <c r="H35" s="156" t="s">
        <v>51</v>
      </c>
      <c r="I35" s="227">
        <v>0.49309000000000003</v>
      </c>
      <c r="J35" s="159" t="s">
        <v>222</v>
      </c>
      <c r="K35" s="154">
        <v>11036263.55</v>
      </c>
      <c r="L35" s="155">
        <v>6621758</v>
      </c>
      <c r="M35" s="161">
        <v>4414505.550000001</v>
      </c>
      <c r="N35" s="160">
        <v>0.6</v>
      </c>
      <c r="O35" s="155">
        <v>0</v>
      </c>
      <c r="P35" s="155">
        <v>0</v>
      </c>
      <c r="Q35" s="155">
        <v>0</v>
      </c>
      <c r="R35" s="154">
        <v>4463793</v>
      </c>
      <c r="S35" s="154">
        <v>2157965</v>
      </c>
      <c r="T35" s="154">
        <v>0</v>
      </c>
      <c r="U35" s="154">
        <v>0</v>
      </c>
      <c r="V35" s="154">
        <v>0</v>
      </c>
      <c r="W35" s="154">
        <v>0</v>
      </c>
      <c r="X35" s="154">
        <v>0</v>
      </c>
      <c r="Y35" s="302" t="b">
        <f t="shared" si="0"/>
        <v>1</v>
      </c>
      <c r="Z35" s="303">
        <f t="shared" si="1"/>
        <v>0.6</v>
      </c>
      <c r="AA35" s="304" t="b">
        <f t="shared" si="2"/>
        <v>1</v>
      </c>
      <c r="AB35" s="304" t="b">
        <f t="shared" si="3"/>
        <v>1</v>
      </c>
      <c r="AC35" s="201"/>
    </row>
    <row r="36" spans="1:29" s="172" customFormat="1" ht="24">
      <c r="A36" s="246">
        <v>34</v>
      </c>
      <c r="B36" s="146" t="s">
        <v>355</v>
      </c>
      <c r="C36" s="147" t="s">
        <v>56</v>
      </c>
      <c r="D36" s="148" t="s">
        <v>356</v>
      </c>
      <c r="E36" s="148">
        <v>1820022</v>
      </c>
      <c r="F36" s="146" t="s">
        <v>357</v>
      </c>
      <c r="G36" s="41" t="s">
        <v>358</v>
      </c>
      <c r="H36" s="146" t="s">
        <v>51</v>
      </c>
      <c r="I36" s="229">
        <v>0.5942000000000001</v>
      </c>
      <c r="J36" s="149" t="s">
        <v>209</v>
      </c>
      <c r="K36" s="162">
        <v>5048503.9</v>
      </c>
      <c r="L36" s="163">
        <v>3029102</v>
      </c>
      <c r="M36" s="164">
        <v>2019401.9000000004</v>
      </c>
      <c r="N36" s="150">
        <v>0.6</v>
      </c>
      <c r="O36" s="163">
        <v>0</v>
      </c>
      <c r="P36" s="163">
        <v>0</v>
      </c>
      <c r="Q36" s="163">
        <v>0</v>
      </c>
      <c r="R36" s="162">
        <v>3029102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302" t="b">
        <f t="shared" si="0"/>
        <v>1</v>
      </c>
      <c r="Z36" s="303">
        <f t="shared" si="1"/>
        <v>0.6</v>
      </c>
      <c r="AA36" s="304" t="b">
        <f t="shared" si="2"/>
        <v>1</v>
      </c>
      <c r="AB36" s="304" t="b">
        <f t="shared" si="3"/>
        <v>1</v>
      </c>
      <c r="AC36" s="202"/>
    </row>
    <row r="37" spans="1:29" s="153" customFormat="1" ht="24">
      <c r="A37" s="244">
        <v>35</v>
      </c>
      <c r="B37" s="156" t="s">
        <v>359</v>
      </c>
      <c r="C37" s="157" t="s">
        <v>57</v>
      </c>
      <c r="D37" s="158" t="s">
        <v>360</v>
      </c>
      <c r="E37" s="158">
        <v>1815052</v>
      </c>
      <c r="F37" s="156" t="s">
        <v>325</v>
      </c>
      <c r="G37" s="152" t="s">
        <v>361</v>
      </c>
      <c r="H37" s="156" t="s">
        <v>50</v>
      </c>
      <c r="I37" s="227">
        <v>2.365</v>
      </c>
      <c r="J37" s="159" t="s">
        <v>235</v>
      </c>
      <c r="K37" s="154">
        <v>4081009.29</v>
      </c>
      <c r="L37" s="155">
        <v>2040504</v>
      </c>
      <c r="M37" s="161">
        <v>2040505.29</v>
      </c>
      <c r="N37" s="160">
        <v>0.5</v>
      </c>
      <c r="O37" s="155">
        <v>0</v>
      </c>
      <c r="P37" s="155">
        <v>0</v>
      </c>
      <c r="Q37" s="155">
        <v>0</v>
      </c>
      <c r="R37" s="154">
        <v>568933</v>
      </c>
      <c r="S37" s="154">
        <v>1471571</v>
      </c>
      <c r="T37" s="154">
        <v>0</v>
      </c>
      <c r="U37" s="154">
        <v>0</v>
      </c>
      <c r="V37" s="154">
        <v>0</v>
      </c>
      <c r="W37" s="154">
        <v>0</v>
      </c>
      <c r="X37" s="154">
        <v>0</v>
      </c>
      <c r="Y37" s="302" t="b">
        <f t="shared" si="0"/>
        <v>1</v>
      </c>
      <c r="Z37" s="303">
        <f t="shared" si="1"/>
        <v>0.5</v>
      </c>
      <c r="AA37" s="304" t="b">
        <f t="shared" si="2"/>
        <v>1</v>
      </c>
      <c r="AB37" s="304" t="b">
        <f t="shared" si="3"/>
        <v>1</v>
      </c>
      <c r="AC37" s="201"/>
    </row>
    <row r="38" spans="1:29" s="153" customFormat="1" ht="24">
      <c r="A38" s="244">
        <v>36</v>
      </c>
      <c r="B38" s="156" t="s">
        <v>362</v>
      </c>
      <c r="C38" s="157" t="s">
        <v>57</v>
      </c>
      <c r="D38" s="158" t="s">
        <v>363</v>
      </c>
      <c r="E38" s="158">
        <v>1815022</v>
      </c>
      <c r="F38" s="156" t="s">
        <v>325</v>
      </c>
      <c r="G38" s="152" t="s">
        <v>364</v>
      </c>
      <c r="H38" s="156" t="s">
        <v>50</v>
      </c>
      <c r="I38" s="227">
        <v>2.893</v>
      </c>
      <c r="J38" s="159" t="s">
        <v>365</v>
      </c>
      <c r="K38" s="154">
        <v>5091640.87</v>
      </c>
      <c r="L38" s="155">
        <v>2545820</v>
      </c>
      <c r="M38" s="161">
        <v>2545820.87</v>
      </c>
      <c r="N38" s="160">
        <v>0.5</v>
      </c>
      <c r="O38" s="155">
        <v>0</v>
      </c>
      <c r="P38" s="155">
        <v>0</v>
      </c>
      <c r="Q38" s="155">
        <v>0</v>
      </c>
      <c r="R38" s="154">
        <v>1109270</v>
      </c>
      <c r="S38" s="154">
        <v>849806</v>
      </c>
      <c r="T38" s="154">
        <v>586744</v>
      </c>
      <c r="U38" s="154">
        <v>0</v>
      </c>
      <c r="V38" s="154">
        <v>0</v>
      </c>
      <c r="W38" s="154">
        <v>0</v>
      </c>
      <c r="X38" s="154">
        <v>0</v>
      </c>
      <c r="Y38" s="302" t="b">
        <f t="shared" si="0"/>
        <v>1</v>
      </c>
      <c r="Z38" s="303">
        <f t="shared" si="1"/>
        <v>0.5</v>
      </c>
      <c r="AA38" s="304" t="b">
        <f t="shared" si="2"/>
        <v>1</v>
      </c>
      <c r="AB38" s="304" t="b">
        <f t="shared" si="3"/>
        <v>1</v>
      </c>
      <c r="AC38" s="201"/>
    </row>
    <row r="39" spans="1:29" s="172" customFormat="1" ht="24">
      <c r="A39" s="246">
        <v>37</v>
      </c>
      <c r="B39" s="146" t="s">
        <v>366</v>
      </c>
      <c r="C39" s="147" t="s">
        <v>56</v>
      </c>
      <c r="D39" s="148" t="s">
        <v>367</v>
      </c>
      <c r="E39" s="148">
        <v>1813082</v>
      </c>
      <c r="F39" s="146" t="s">
        <v>343</v>
      </c>
      <c r="G39" s="41" t="s">
        <v>368</v>
      </c>
      <c r="H39" s="146" t="s">
        <v>50</v>
      </c>
      <c r="I39" s="229">
        <v>0.999</v>
      </c>
      <c r="J39" s="149" t="s">
        <v>258</v>
      </c>
      <c r="K39" s="162">
        <v>1567612.92</v>
      </c>
      <c r="L39" s="163">
        <v>783806</v>
      </c>
      <c r="M39" s="164">
        <v>783806.9199999999</v>
      </c>
      <c r="N39" s="150">
        <v>0.5</v>
      </c>
      <c r="O39" s="163">
        <v>0</v>
      </c>
      <c r="P39" s="163">
        <v>0</v>
      </c>
      <c r="Q39" s="163">
        <v>0</v>
      </c>
      <c r="R39" s="162">
        <v>783806</v>
      </c>
      <c r="S39" s="162">
        <v>0</v>
      </c>
      <c r="T39" s="162">
        <v>0</v>
      </c>
      <c r="U39" s="162">
        <v>0</v>
      </c>
      <c r="V39" s="162">
        <v>0</v>
      </c>
      <c r="W39" s="162">
        <v>0</v>
      </c>
      <c r="X39" s="162">
        <v>0</v>
      </c>
      <c r="Y39" s="302" t="b">
        <f t="shared" si="0"/>
        <v>1</v>
      </c>
      <c r="Z39" s="303">
        <f t="shared" si="1"/>
        <v>0.5</v>
      </c>
      <c r="AA39" s="304" t="b">
        <f t="shared" si="2"/>
        <v>1</v>
      </c>
      <c r="AB39" s="304" t="b">
        <f t="shared" si="3"/>
        <v>1</v>
      </c>
      <c r="AC39" s="202"/>
    </row>
    <row r="40" spans="1:29" s="172" customFormat="1" ht="24">
      <c r="A40" s="246">
        <v>38</v>
      </c>
      <c r="B40" s="146" t="s">
        <v>369</v>
      </c>
      <c r="C40" s="147" t="s">
        <v>56</v>
      </c>
      <c r="D40" s="148" t="s">
        <v>370</v>
      </c>
      <c r="E40" s="148">
        <v>1807012</v>
      </c>
      <c r="F40" s="146" t="s">
        <v>353</v>
      </c>
      <c r="G40" s="41" t="s">
        <v>371</v>
      </c>
      <c r="H40" s="146" t="s">
        <v>50</v>
      </c>
      <c r="I40" s="229">
        <v>0.926</v>
      </c>
      <c r="J40" s="149" t="s">
        <v>293</v>
      </c>
      <c r="K40" s="162">
        <v>1765211.24</v>
      </c>
      <c r="L40" s="163">
        <v>1059126</v>
      </c>
      <c r="M40" s="164">
        <v>706085.24</v>
      </c>
      <c r="N40" s="150">
        <v>0.6</v>
      </c>
      <c r="O40" s="163">
        <v>0</v>
      </c>
      <c r="P40" s="163">
        <v>0</v>
      </c>
      <c r="Q40" s="163">
        <v>0</v>
      </c>
      <c r="R40" s="162">
        <v>1059126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162">
        <v>0</v>
      </c>
      <c r="Y40" s="302" t="b">
        <f t="shared" si="0"/>
        <v>1</v>
      </c>
      <c r="Z40" s="303">
        <f t="shared" si="1"/>
        <v>0.6</v>
      </c>
      <c r="AA40" s="304" t="b">
        <f t="shared" si="2"/>
        <v>1</v>
      </c>
      <c r="AB40" s="304" t="b">
        <f t="shared" si="3"/>
        <v>1</v>
      </c>
      <c r="AC40" s="202"/>
    </row>
    <row r="41" spans="1:29" s="172" customFormat="1" ht="24">
      <c r="A41" s="246">
        <v>39</v>
      </c>
      <c r="B41" s="146" t="s">
        <v>285</v>
      </c>
      <c r="C41" s="147" t="s">
        <v>56</v>
      </c>
      <c r="D41" s="148" t="s">
        <v>372</v>
      </c>
      <c r="E41" s="148">
        <v>1813072</v>
      </c>
      <c r="F41" s="146" t="s">
        <v>343</v>
      </c>
      <c r="G41" s="41" t="s">
        <v>373</v>
      </c>
      <c r="H41" s="146" t="s">
        <v>50</v>
      </c>
      <c r="I41" s="229">
        <v>0.706</v>
      </c>
      <c r="J41" s="149" t="s">
        <v>345</v>
      </c>
      <c r="K41" s="162">
        <v>668818.7</v>
      </c>
      <c r="L41" s="163">
        <v>401291</v>
      </c>
      <c r="M41" s="164">
        <v>267527.69999999995</v>
      </c>
      <c r="N41" s="150">
        <v>0.6</v>
      </c>
      <c r="O41" s="163">
        <v>0</v>
      </c>
      <c r="P41" s="163">
        <v>0</v>
      </c>
      <c r="Q41" s="163">
        <v>0</v>
      </c>
      <c r="R41" s="162">
        <v>401291</v>
      </c>
      <c r="S41" s="162">
        <v>0</v>
      </c>
      <c r="T41" s="162">
        <v>0</v>
      </c>
      <c r="U41" s="162">
        <v>0</v>
      </c>
      <c r="V41" s="162">
        <v>0</v>
      </c>
      <c r="W41" s="162">
        <v>0</v>
      </c>
      <c r="X41" s="162">
        <v>0</v>
      </c>
      <c r="Y41" s="302" t="b">
        <f t="shared" si="0"/>
        <v>1</v>
      </c>
      <c r="Z41" s="303">
        <f t="shared" si="1"/>
        <v>0.6</v>
      </c>
      <c r="AA41" s="304" t="b">
        <f t="shared" si="2"/>
        <v>1</v>
      </c>
      <c r="AB41" s="304" t="b">
        <f t="shared" si="3"/>
        <v>1</v>
      </c>
      <c r="AC41" s="202"/>
    </row>
    <row r="42" spans="1:29" s="172" customFormat="1" ht="36">
      <c r="A42" s="246">
        <v>40</v>
      </c>
      <c r="B42" s="146" t="s">
        <v>262</v>
      </c>
      <c r="C42" s="147" t="s">
        <v>56</v>
      </c>
      <c r="D42" s="148" t="s">
        <v>80</v>
      </c>
      <c r="E42" s="148">
        <v>1807072</v>
      </c>
      <c r="F42" s="146" t="s">
        <v>353</v>
      </c>
      <c r="G42" s="41" t="s">
        <v>374</v>
      </c>
      <c r="H42" s="146" t="s">
        <v>50</v>
      </c>
      <c r="I42" s="229">
        <v>0.21</v>
      </c>
      <c r="J42" s="149" t="s">
        <v>293</v>
      </c>
      <c r="K42" s="162">
        <v>1095223.27</v>
      </c>
      <c r="L42" s="163">
        <v>657133</v>
      </c>
      <c r="M42" s="164">
        <v>438090.27</v>
      </c>
      <c r="N42" s="150">
        <v>0.6</v>
      </c>
      <c r="O42" s="163">
        <v>0</v>
      </c>
      <c r="P42" s="163">
        <v>0</v>
      </c>
      <c r="Q42" s="163">
        <v>0</v>
      </c>
      <c r="R42" s="162">
        <v>657133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302" t="b">
        <f t="shared" si="0"/>
        <v>1</v>
      </c>
      <c r="Z42" s="303">
        <f t="shared" si="1"/>
        <v>0.6</v>
      </c>
      <c r="AA42" s="304" t="b">
        <f t="shared" si="2"/>
        <v>1</v>
      </c>
      <c r="AB42" s="304" t="b">
        <f t="shared" si="3"/>
        <v>1</v>
      </c>
      <c r="AC42" s="202"/>
    </row>
    <row r="43" spans="1:29" s="172" customFormat="1" ht="24">
      <c r="A43" s="246">
        <v>41</v>
      </c>
      <c r="B43" s="146" t="s">
        <v>375</v>
      </c>
      <c r="C43" s="147" t="s">
        <v>56</v>
      </c>
      <c r="D43" s="148" t="s">
        <v>376</v>
      </c>
      <c r="E43" s="148">
        <v>1817052</v>
      </c>
      <c r="F43" s="146" t="s">
        <v>377</v>
      </c>
      <c r="G43" s="41" t="s">
        <v>378</v>
      </c>
      <c r="H43" s="146" t="s">
        <v>50</v>
      </c>
      <c r="I43" s="229">
        <v>3.968</v>
      </c>
      <c r="J43" s="149" t="s">
        <v>270</v>
      </c>
      <c r="K43" s="162">
        <v>6105457.91</v>
      </c>
      <c r="L43" s="163">
        <v>3052728</v>
      </c>
      <c r="M43" s="164">
        <v>3052729.91</v>
      </c>
      <c r="N43" s="150">
        <v>0.5</v>
      </c>
      <c r="O43" s="163">
        <v>0</v>
      </c>
      <c r="P43" s="163">
        <v>0</v>
      </c>
      <c r="Q43" s="163">
        <v>0</v>
      </c>
      <c r="R43" s="162">
        <v>3052728</v>
      </c>
      <c r="S43" s="162">
        <v>0</v>
      </c>
      <c r="T43" s="162">
        <v>0</v>
      </c>
      <c r="U43" s="162">
        <v>0</v>
      </c>
      <c r="V43" s="162">
        <v>0</v>
      </c>
      <c r="W43" s="162">
        <v>0</v>
      </c>
      <c r="X43" s="162">
        <v>0</v>
      </c>
      <c r="Y43" s="302" t="b">
        <f t="shared" si="0"/>
        <v>1</v>
      </c>
      <c r="Z43" s="303">
        <f t="shared" si="1"/>
        <v>0.5</v>
      </c>
      <c r="AA43" s="304" t="b">
        <f t="shared" si="2"/>
        <v>1</v>
      </c>
      <c r="AB43" s="304" t="b">
        <f t="shared" si="3"/>
        <v>1</v>
      </c>
      <c r="AC43" s="202"/>
    </row>
    <row r="44" spans="1:29" s="172" customFormat="1" ht="24">
      <c r="A44" s="246">
        <v>42</v>
      </c>
      <c r="B44" s="146" t="s">
        <v>379</v>
      </c>
      <c r="C44" s="147" t="s">
        <v>56</v>
      </c>
      <c r="D44" s="148" t="s">
        <v>380</v>
      </c>
      <c r="E44" s="148">
        <v>1817022</v>
      </c>
      <c r="F44" s="146" t="s">
        <v>377</v>
      </c>
      <c r="G44" s="41" t="s">
        <v>381</v>
      </c>
      <c r="H44" s="146" t="s">
        <v>50</v>
      </c>
      <c r="I44" s="229">
        <v>0.53003</v>
      </c>
      <c r="J44" s="149" t="s">
        <v>382</v>
      </c>
      <c r="K44" s="162">
        <v>215519.99</v>
      </c>
      <c r="L44" s="163">
        <v>129311</v>
      </c>
      <c r="M44" s="164">
        <v>86208.98999999999</v>
      </c>
      <c r="N44" s="150">
        <v>0.6</v>
      </c>
      <c r="O44" s="163">
        <v>0</v>
      </c>
      <c r="P44" s="163">
        <v>0</v>
      </c>
      <c r="Q44" s="163">
        <v>0</v>
      </c>
      <c r="R44" s="162">
        <v>129311</v>
      </c>
      <c r="S44" s="162">
        <v>0</v>
      </c>
      <c r="T44" s="162">
        <v>0</v>
      </c>
      <c r="U44" s="162">
        <v>0</v>
      </c>
      <c r="V44" s="162">
        <v>0</v>
      </c>
      <c r="W44" s="162">
        <v>0</v>
      </c>
      <c r="X44" s="162">
        <v>0</v>
      </c>
      <c r="Y44" s="302" t="b">
        <f t="shared" si="0"/>
        <v>1</v>
      </c>
      <c r="Z44" s="303">
        <f t="shared" si="1"/>
        <v>0.6</v>
      </c>
      <c r="AA44" s="304" t="b">
        <f t="shared" si="2"/>
        <v>1</v>
      </c>
      <c r="AB44" s="304" t="b">
        <f t="shared" si="3"/>
        <v>1</v>
      </c>
      <c r="AC44" s="202"/>
    </row>
    <row r="45" spans="1:29" s="172" customFormat="1" ht="24">
      <c r="A45" s="246">
        <v>43</v>
      </c>
      <c r="B45" s="146" t="s">
        <v>383</v>
      </c>
      <c r="C45" s="147" t="s">
        <v>56</v>
      </c>
      <c r="D45" s="148" t="s">
        <v>384</v>
      </c>
      <c r="E45" s="148">
        <v>1817082</v>
      </c>
      <c r="F45" s="146" t="s">
        <v>377</v>
      </c>
      <c r="G45" s="41" t="s">
        <v>385</v>
      </c>
      <c r="H45" s="146" t="s">
        <v>50</v>
      </c>
      <c r="I45" s="229">
        <v>0.396</v>
      </c>
      <c r="J45" s="149" t="s">
        <v>386</v>
      </c>
      <c r="K45" s="162">
        <v>321908.84</v>
      </c>
      <c r="L45" s="163">
        <v>160954</v>
      </c>
      <c r="M45" s="164">
        <v>160954.84000000003</v>
      </c>
      <c r="N45" s="150">
        <v>0.5</v>
      </c>
      <c r="O45" s="163">
        <v>0</v>
      </c>
      <c r="P45" s="163">
        <v>0</v>
      </c>
      <c r="Q45" s="163">
        <v>0</v>
      </c>
      <c r="R45" s="162">
        <v>160954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302" t="b">
        <f t="shared" si="0"/>
        <v>1</v>
      </c>
      <c r="Z45" s="303">
        <f t="shared" si="1"/>
        <v>0.5</v>
      </c>
      <c r="AA45" s="304" t="b">
        <f t="shared" si="2"/>
        <v>1</v>
      </c>
      <c r="AB45" s="304" t="b">
        <f t="shared" si="3"/>
        <v>1</v>
      </c>
      <c r="AC45" s="202"/>
    </row>
    <row r="46" spans="1:29" s="211" customFormat="1" ht="48">
      <c r="A46" s="244">
        <v>44</v>
      </c>
      <c r="B46" s="156" t="s">
        <v>387</v>
      </c>
      <c r="C46" s="157" t="s">
        <v>57</v>
      </c>
      <c r="D46" s="158" t="s">
        <v>388</v>
      </c>
      <c r="E46" s="158">
        <v>1818011</v>
      </c>
      <c r="F46" s="156" t="s">
        <v>73</v>
      </c>
      <c r="G46" s="152" t="s">
        <v>389</v>
      </c>
      <c r="H46" s="156" t="s">
        <v>51</v>
      </c>
      <c r="I46" s="227">
        <v>1.379</v>
      </c>
      <c r="J46" s="159" t="s">
        <v>390</v>
      </c>
      <c r="K46" s="154">
        <v>11456849.46</v>
      </c>
      <c r="L46" s="155">
        <f>INT(K46*N46)</f>
        <v>8019794</v>
      </c>
      <c r="M46" s="161">
        <f>K46-L46</f>
        <v>3437055.460000001</v>
      </c>
      <c r="N46" s="160">
        <v>0.7</v>
      </c>
      <c r="O46" s="155">
        <v>0</v>
      </c>
      <c r="P46" s="155">
        <v>0</v>
      </c>
      <c r="Q46" s="155">
        <v>0</v>
      </c>
      <c r="R46" s="154">
        <v>250000</v>
      </c>
      <c r="S46" s="154">
        <v>2894351.049999997</v>
      </c>
      <c r="T46" s="154">
        <f>L46-R46-S46</f>
        <v>4875442.950000003</v>
      </c>
      <c r="U46" s="154">
        <v>0</v>
      </c>
      <c r="V46" s="154">
        <v>0</v>
      </c>
      <c r="W46" s="154">
        <v>0</v>
      </c>
      <c r="X46" s="154">
        <v>0</v>
      </c>
      <c r="Y46" s="302" t="b">
        <f t="shared" si="0"/>
        <v>1</v>
      </c>
      <c r="Z46" s="303">
        <f t="shared" si="1"/>
        <v>0.7</v>
      </c>
      <c r="AA46" s="304" t="b">
        <f t="shared" si="2"/>
        <v>1</v>
      </c>
      <c r="AB46" s="304" t="b">
        <f t="shared" si="3"/>
        <v>1</v>
      </c>
      <c r="AC46" s="210"/>
    </row>
    <row r="47" spans="1:29" s="172" customFormat="1" ht="36">
      <c r="A47" s="246">
        <v>45</v>
      </c>
      <c r="B47" s="146" t="s">
        <v>391</v>
      </c>
      <c r="C47" s="147" t="s">
        <v>56</v>
      </c>
      <c r="D47" s="148" t="s">
        <v>392</v>
      </c>
      <c r="E47" s="148">
        <v>1803023</v>
      </c>
      <c r="F47" s="146" t="s">
        <v>393</v>
      </c>
      <c r="G47" s="41" t="s">
        <v>394</v>
      </c>
      <c r="H47" s="146" t="s">
        <v>51</v>
      </c>
      <c r="I47" s="229">
        <v>0.714</v>
      </c>
      <c r="J47" s="149" t="s">
        <v>219</v>
      </c>
      <c r="K47" s="162">
        <v>3549841.5</v>
      </c>
      <c r="L47" s="163">
        <v>1774920</v>
      </c>
      <c r="M47" s="164">
        <v>1774921.5</v>
      </c>
      <c r="N47" s="150">
        <v>0.5</v>
      </c>
      <c r="O47" s="163">
        <v>0</v>
      </c>
      <c r="P47" s="163">
        <v>0</v>
      </c>
      <c r="Q47" s="163">
        <v>0</v>
      </c>
      <c r="R47" s="162">
        <v>1774920</v>
      </c>
      <c r="S47" s="162">
        <v>0</v>
      </c>
      <c r="T47" s="162">
        <v>0</v>
      </c>
      <c r="U47" s="162">
        <v>0</v>
      </c>
      <c r="V47" s="162">
        <v>0</v>
      </c>
      <c r="W47" s="162">
        <v>0</v>
      </c>
      <c r="X47" s="162">
        <v>0</v>
      </c>
      <c r="Y47" s="302" t="b">
        <f t="shared" si="0"/>
        <v>1</v>
      </c>
      <c r="Z47" s="303">
        <f t="shared" si="1"/>
        <v>0.5</v>
      </c>
      <c r="AA47" s="304" t="b">
        <f t="shared" si="2"/>
        <v>1</v>
      </c>
      <c r="AB47" s="304" t="b">
        <f t="shared" si="3"/>
        <v>1</v>
      </c>
      <c r="AC47" s="202"/>
    </row>
    <row r="48" spans="1:29" s="172" customFormat="1" ht="48">
      <c r="A48" s="246">
        <v>46</v>
      </c>
      <c r="B48" s="146" t="s">
        <v>395</v>
      </c>
      <c r="C48" s="147" t="s">
        <v>56</v>
      </c>
      <c r="D48" s="148" t="s">
        <v>396</v>
      </c>
      <c r="E48" s="148">
        <v>1809032</v>
      </c>
      <c r="F48" s="146" t="s">
        <v>397</v>
      </c>
      <c r="G48" s="41" t="s">
        <v>398</v>
      </c>
      <c r="H48" s="146" t="s">
        <v>50</v>
      </c>
      <c r="I48" s="229">
        <v>0.82</v>
      </c>
      <c r="J48" s="149" t="s">
        <v>399</v>
      </c>
      <c r="K48" s="162">
        <v>3019502.27</v>
      </c>
      <c r="L48" s="163">
        <v>1509751</v>
      </c>
      <c r="M48" s="164">
        <v>1509751.27</v>
      </c>
      <c r="N48" s="150">
        <v>0.5</v>
      </c>
      <c r="O48" s="163">
        <v>0</v>
      </c>
      <c r="P48" s="163">
        <v>0</v>
      </c>
      <c r="Q48" s="163">
        <v>0</v>
      </c>
      <c r="R48" s="162">
        <v>1509751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302" t="b">
        <f t="shared" si="0"/>
        <v>1</v>
      </c>
      <c r="Z48" s="303">
        <f t="shared" si="1"/>
        <v>0.5</v>
      </c>
      <c r="AA48" s="304" t="b">
        <f t="shared" si="2"/>
        <v>1</v>
      </c>
      <c r="AB48" s="304" t="b">
        <f t="shared" si="3"/>
        <v>1</v>
      </c>
      <c r="AC48" s="202"/>
    </row>
    <row r="49" spans="1:29" s="172" customFormat="1" ht="24">
      <c r="A49" s="246">
        <v>47</v>
      </c>
      <c r="B49" s="146" t="s">
        <v>400</v>
      </c>
      <c r="C49" s="147" t="s">
        <v>56</v>
      </c>
      <c r="D49" s="148" t="s">
        <v>401</v>
      </c>
      <c r="E49" s="148">
        <v>1803072</v>
      </c>
      <c r="F49" s="146" t="s">
        <v>393</v>
      </c>
      <c r="G49" s="41" t="s">
        <v>402</v>
      </c>
      <c r="H49" s="146" t="s">
        <v>50</v>
      </c>
      <c r="I49" s="229">
        <v>0.735</v>
      </c>
      <c r="J49" s="149" t="s">
        <v>350</v>
      </c>
      <c r="K49" s="162">
        <v>1460500</v>
      </c>
      <c r="L49" s="163">
        <v>876300</v>
      </c>
      <c r="M49" s="164">
        <v>584200</v>
      </c>
      <c r="N49" s="150">
        <v>0.6</v>
      </c>
      <c r="O49" s="163">
        <v>0</v>
      </c>
      <c r="P49" s="163">
        <v>0</v>
      </c>
      <c r="Q49" s="163">
        <v>0</v>
      </c>
      <c r="R49" s="162">
        <v>876300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302" t="b">
        <f t="shared" si="0"/>
        <v>1</v>
      </c>
      <c r="Z49" s="303">
        <f t="shared" si="1"/>
        <v>0.6</v>
      </c>
      <c r="AA49" s="304" t="b">
        <f t="shared" si="2"/>
        <v>1</v>
      </c>
      <c r="AB49" s="304" t="b">
        <f t="shared" si="3"/>
        <v>1</v>
      </c>
      <c r="AC49" s="202"/>
    </row>
    <row r="50" spans="1:29" s="172" customFormat="1" ht="24">
      <c r="A50" s="246">
        <v>48</v>
      </c>
      <c r="B50" s="146" t="s">
        <v>403</v>
      </c>
      <c r="C50" s="147" t="s">
        <v>56</v>
      </c>
      <c r="D50" s="148" t="s">
        <v>84</v>
      </c>
      <c r="E50" s="148">
        <v>1803063</v>
      </c>
      <c r="F50" s="146" t="s">
        <v>393</v>
      </c>
      <c r="G50" s="41" t="s">
        <v>404</v>
      </c>
      <c r="H50" s="146" t="s">
        <v>50</v>
      </c>
      <c r="I50" s="229">
        <v>0.571</v>
      </c>
      <c r="J50" s="149" t="s">
        <v>238</v>
      </c>
      <c r="K50" s="162">
        <v>461724.67</v>
      </c>
      <c r="L50" s="163">
        <v>230862</v>
      </c>
      <c r="M50" s="164">
        <v>230862.66999999998</v>
      </c>
      <c r="N50" s="150">
        <v>0.5</v>
      </c>
      <c r="O50" s="163">
        <v>0</v>
      </c>
      <c r="P50" s="163">
        <v>0</v>
      </c>
      <c r="Q50" s="163">
        <v>0</v>
      </c>
      <c r="R50" s="162">
        <v>230862</v>
      </c>
      <c r="S50" s="162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302" t="b">
        <f t="shared" si="0"/>
        <v>1</v>
      </c>
      <c r="Z50" s="303">
        <f t="shared" si="1"/>
        <v>0.5</v>
      </c>
      <c r="AA50" s="304" t="b">
        <f t="shared" si="2"/>
        <v>1</v>
      </c>
      <c r="AB50" s="304" t="b">
        <f t="shared" si="3"/>
        <v>1</v>
      </c>
      <c r="AC50" s="202"/>
    </row>
    <row r="51" spans="1:29" s="172" customFormat="1" ht="48">
      <c r="A51" s="246">
        <v>49</v>
      </c>
      <c r="B51" s="146" t="s">
        <v>405</v>
      </c>
      <c r="C51" s="147" t="s">
        <v>56</v>
      </c>
      <c r="D51" s="148" t="s">
        <v>406</v>
      </c>
      <c r="E51" s="148">
        <v>1814062</v>
      </c>
      <c r="F51" s="146" t="s">
        <v>407</v>
      </c>
      <c r="G51" s="41" t="s">
        <v>408</v>
      </c>
      <c r="H51" s="146" t="s">
        <v>50</v>
      </c>
      <c r="I51" s="229">
        <v>2.3825</v>
      </c>
      <c r="J51" s="149" t="s">
        <v>409</v>
      </c>
      <c r="K51" s="162">
        <v>3494382.8899999997</v>
      </c>
      <c r="L51" s="163">
        <v>2096629</v>
      </c>
      <c r="M51" s="164">
        <v>1397753.8899999997</v>
      </c>
      <c r="N51" s="150">
        <v>0.6</v>
      </c>
      <c r="O51" s="163">
        <v>0</v>
      </c>
      <c r="P51" s="163">
        <v>0</v>
      </c>
      <c r="Q51" s="163">
        <v>0</v>
      </c>
      <c r="R51" s="162">
        <v>2096629</v>
      </c>
      <c r="S51" s="162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302" t="b">
        <f t="shared" si="0"/>
        <v>1</v>
      </c>
      <c r="Z51" s="303">
        <f t="shared" si="1"/>
        <v>0.6</v>
      </c>
      <c r="AA51" s="304" t="b">
        <f t="shared" si="2"/>
        <v>1</v>
      </c>
      <c r="AB51" s="304" t="b">
        <f t="shared" si="3"/>
        <v>1</v>
      </c>
      <c r="AC51" s="202"/>
    </row>
    <row r="52" spans="1:29" s="172" customFormat="1" ht="36">
      <c r="A52" s="246">
        <v>50</v>
      </c>
      <c r="B52" s="146" t="s">
        <v>410</v>
      </c>
      <c r="C52" s="147" t="s">
        <v>56</v>
      </c>
      <c r="D52" s="148" t="s">
        <v>411</v>
      </c>
      <c r="E52" s="148">
        <v>1816082</v>
      </c>
      <c r="F52" s="146" t="s">
        <v>76</v>
      </c>
      <c r="G52" s="41" t="s">
        <v>412</v>
      </c>
      <c r="H52" s="146" t="s">
        <v>71</v>
      </c>
      <c r="I52" s="229">
        <v>7.34</v>
      </c>
      <c r="J52" s="149" t="s">
        <v>350</v>
      </c>
      <c r="K52" s="162">
        <v>3110147.34</v>
      </c>
      <c r="L52" s="163">
        <v>1555073</v>
      </c>
      <c r="M52" s="164">
        <v>1555074.3399999999</v>
      </c>
      <c r="N52" s="150">
        <v>0.5</v>
      </c>
      <c r="O52" s="163">
        <v>0</v>
      </c>
      <c r="P52" s="163">
        <v>0</v>
      </c>
      <c r="Q52" s="163">
        <v>0</v>
      </c>
      <c r="R52" s="162">
        <v>1555073</v>
      </c>
      <c r="S52" s="162">
        <v>0</v>
      </c>
      <c r="T52" s="162">
        <v>0</v>
      </c>
      <c r="U52" s="162">
        <v>0</v>
      </c>
      <c r="V52" s="162">
        <v>0</v>
      </c>
      <c r="W52" s="162">
        <v>0</v>
      </c>
      <c r="X52" s="162">
        <v>0</v>
      </c>
      <c r="Y52" s="302" t="b">
        <f t="shared" si="0"/>
        <v>1</v>
      </c>
      <c r="Z52" s="303">
        <f t="shared" si="1"/>
        <v>0.5</v>
      </c>
      <c r="AA52" s="304" t="b">
        <f t="shared" si="2"/>
        <v>1</v>
      </c>
      <c r="AB52" s="304" t="b">
        <f t="shared" si="3"/>
        <v>1</v>
      </c>
      <c r="AC52" s="202"/>
    </row>
    <row r="53" spans="1:29" s="213" customFormat="1" ht="36">
      <c r="A53" s="246">
        <v>51</v>
      </c>
      <c r="B53" s="146" t="s">
        <v>413</v>
      </c>
      <c r="C53" s="147" t="s">
        <v>56</v>
      </c>
      <c r="D53" s="148" t="s">
        <v>414</v>
      </c>
      <c r="E53" s="148">
        <v>1816033</v>
      </c>
      <c r="F53" s="146" t="s">
        <v>76</v>
      </c>
      <c r="G53" s="41" t="s">
        <v>415</v>
      </c>
      <c r="H53" s="146" t="s">
        <v>71</v>
      </c>
      <c r="I53" s="229">
        <v>1.962</v>
      </c>
      <c r="J53" s="149" t="s">
        <v>416</v>
      </c>
      <c r="K53" s="162">
        <v>755600.83</v>
      </c>
      <c r="L53" s="163">
        <v>377800</v>
      </c>
      <c r="M53" s="164">
        <v>377800.82999999996</v>
      </c>
      <c r="N53" s="150">
        <v>0.5</v>
      </c>
      <c r="O53" s="163">
        <v>0</v>
      </c>
      <c r="P53" s="163">
        <v>0</v>
      </c>
      <c r="Q53" s="163">
        <v>0</v>
      </c>
      <c r="R53" s="162">
        <v>377800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302" t="b">
        <f t="shared" si="0"/>
        <v>1</v>
      </c>
      <c r="Z53" s="303">
        <f t="shared" si="1"/>
        <v>0.5</v>
      </c>
      <c r="AA53" s="304" t="b">
        <f t="shared" si="2"/>
        <v>1</v>
      </c>
      <c r="AB53" s="304" t="b">
        <f t="shared" si="3"/>
        <v>1</v>
      </c>
      <c r="AC53" s="212"/>
    </row>
    <row r="54" spans="1:29" s="213" customFormat="1" ht="65.25" customHeight="1">
      <c r="A54" s="246">
        <v>52</v>
      </c>
      <c r="B54" s="146" t="s">
        <v>417</v>
      </c>
      <c r="C54" s="147" t="s">
        <v>56</v>
      </c>
      <c r="D54" s="148" t="s">
        <v>418</v>
      </c>
      <c r="E54" s="148">
        <v>1807062</v>
      </c>
      <c r="F54" s="146" t="s">
        <v>353</v>
      </c>
      <c r="G54" s="41" t="s">
        <v>419</v>
      </c>
      <c r="H54" s="146" t="s">
        <v>71</v>
      </c>
      <c r="I54" s="229">
        <v>0.34</v>
      </c>
      <c r="J54" s="149" t="s">
        <v>420</v>
      </c>
      <c r="K54" s="162">
        <v>551027.62</v>
      </c>
      <c r="L54" s="163">
        <v>330616</v>
      </c>
      <c r="M54" s="164">
        <v>220411.62</v>
      </c>
      <c r="N54" s="150">
        <v>0.6</v>
      </c>
      <c r="O54" s="163">
        <v>0</v>
      </c>
      <c r="P54" s="163">
        <v>0</v>
      </c>
      <c r="Q54" s="163">
        <v>0</v>
      </c>
      <c r="R54" s="164">
        <v>330616</v>
      </c>
      <c r="S54" s="164">
        <v>0</v>
      </c>
      <c r="T54" s="164">
        <v>0</v>
      </c>
      <c r="U54" s="164">
        <v>0</v>
      </c>
      <c r="V54" s="164">
        <v>0</v>
      </c>
      <c r="W54" s="162">
        <v>0</v>
      </c>
      <c r="X54" s="162">
        <v>0</v>
      </c>
      <c r="Y54" s="302" t="b">
        <f t="shared" si="0"/>
        <v>1</v>
      </c>
      <c r="Z54" s="303">
        <f t="shared" si="1"/>
        <v>0.6</v>
      </c>
      <c r="AA54" s="304" t="b">
        <f t="shared" si="2"/>
        <v>1</v>
      </c>
      <c r="AB54" s="304" t="b">
        <f t="shared" si="3"/>
        <v>1</v>
      </c>
      <c r="AC54" s="212"/>
    </row>
    <row r="55" spans="1:29" s="172" customFormat="1" ht="60">
      <c r="A55" s="246">
        <v>53</v>
      </c>
      <c r="B55" s="146" t="s">
        <v>421</v>
      </c>
      <c r="C55" s="147" t="s">
        <v>56</v>
      </c>
      <c r="D55" s="148" t="s">
        <v>422</v>
      </c>
      <c r="E55" s="148">
        <v>1805092</v>
      </c>
      <c r="F55" s="146" t="s">
        <v>348</v>
      </c>
      <c r="G55" s="41" t="s">
        <v>423</v>
      </c>
      <c r="H55" s="146" t="s">
        <v>71</v>
      </c>
      <c r="I55" s="229">
        <v>2.016</v>
      </c>
      <c r="J55" s="149" t="s">
        <v>270</v>
      </c>
      <c r="K55" s="162">
        <v>1831136.05</v>
      </c>
      <c r="L55" s="163">
        <v>1098681</v>
      </c>
      <c r="M55" s="164">
        <v>732455.05</v>
      </c>
      <c r="N55" s="150">
        <v>0.6</v>
      </c>
      <c r="O55" s="163">
        <v>0</v>
      </c>
      <c r="P55" s="163">
        <v>0</v>
      </c>
      <c r="Q55" s="163">
        <v>0</v>
      </c>
      <c r="R55" s="162">
        <v>1098681</v>
      </c>
      <c r="S55" s="162">
        <v>0</v>
      </c>
      <c r="T55" s="162">
        <v>0</v>
      </c>
      <c r="U55" s="162">
        <v>0</v>
      </c>
      <c r="V55" s="162">
        <v>0</v>
      </c>
      <c r="W55" s="162">
        <v>0</v>
      </c>
      <c r="X55" s="162">
        <v>0</v>
      </c>
      <c r="Y55" s="302" t="b">
        <f t="shared" si="0"/>
        <v>1</v>
      </c>
      <c r="Z55" s="303">
        <f t="shared" si="1"/>
        <v>0.6</v>
      </c>
      <c r="AA55" s="304" t="b">
        <f t="shared" si="2"/>
        <v>1</v>
      </c>
      <c r="AB55" s="304" t="b">
        <f t="shared" si="3"/>
        <v>1</v>
      </c>
      <c r="AC55" s="202"/>
    </row>
    <row r="56" spans="1:29" s="172" customFormat="1" ht="24">
      <c r="A56" s="246">
        <v>54</v>
      </c>
      <c r="B56" s="146" t="s">
        <v>424</v>
      </c>
      <c r="C56" s="147" t="s">
        <v>56</v>
      </c>
      <c r="D56" s="148" t="s">
        <v>425</v>
      </c>
      <c r="E56" s="148">
        <v>1803011</v>
      </c>
      <c r="F56" s="146" t="s">
        <v>393</v>
      </c>
      <c r="G56" s="41" t="s">
        <v>426</v>
      </c>
      <c r="H56" s="146" t="s">
        <v>51</v>
      </c>
      <c r="I56" s="229">
        <v>0.3782</v>
      </c>
      <c r="J56" s="149" t="s">
        <v>230</v>
      </c>
      <c r="K56" s="162">
        <v>1159964.42</v>
      </c>
      <c r="L56" s="163">
        <v>579982</v>
      </c>
      <c r="M56" s="164">
        <v>579982.4199999999</v>
      </c>
      <c r="N56" s="150">
        <v>0.5</v>
      </c>
      <c r="O56" s="163">
        <v>0</v>
      </c>
      <c r="P56" s="163">
        <v>0</v>
      </c>
      <c r="Q56" s="163">
        <v>0</v>
      </c>
      <c r="R56" s="162">
        <v>579982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162">
        <v>0</v>
      </c>
      <c r="Y56" s="302" t="b">
        <f t="shared" si="0"/>
        <v>1</v>
      </c>
      <c r="Z56" s="303">
        <f t="shared" si="1"/>
        <v>0.5</v>
      </c>
      <c r="AA56" s="304" t="b">
        <f t="shared" si="2"/>
        <v>1</v>
      </c>
      <c r="AB56" s="304" t="b">
        <f t="shared" si="3"/>
        <v>1</v>
      </c>
      <c r="AC56" s="202"/>
    </row>
    <row r="57" spans="1:29" s="264" customFormat="1" ht="60">
      <c r="A57" s="246">
        <v>55</v>
      </c>
      <c r="B57" s="146"/>
      <c r="C57" s="147" t="s">
        <v>56</v>
      </c>
      <c r="D57" s="148" t="s">
        <v>604</v>
      </c>
      <c r="E57" s="148">
        <v>1818042</v>
      </c>
      <c r="F57" s="146" t="s">
        <v>143</v>
      </c>
      <c r="G57" s="41" t="s">
        <v>605</v>
      </c>
      <c r="H57" s="146" t="s">
        <v>50</v>
      </c>
      <c r="I57" s="229">
        <f>0.593+0.728</f>
        <v>1.321</v>
      </c>
      <c r="J57" s="149" t="s">
        <v>606</v>
      </c>
      <c r="K57" s="162">
        <v>779000.24</v>
      </c>
      <c r="L57" s="163">
        <f>INT(K57*N57)</f>
        <v>467400</v>
      </c>
      <c r="M57" s="164">
        <f>K57-L57</f>
        <v>311600.24</v>
      </c>
      <c r="N57" s="150">
        <v>0.6</v>
      </c>
      <c r="O57" s="163">
        <v>0</v>
      </c>
      <c r="P57" s="163">
        <v>0</v>
      </c>
      <c r="Q57" s="163">
        <v>0</v>
      </c>
      <c r="R57" s="162">
        <f>L57</f>
        <v>467400</v>
      </c>
      <c r="S57" s="162">
        <v>0</v>
      </c>
      <c r="T57" s="162">
        <v>0</v>
      </c>
      <c r="U57" s="162">
        <v>0</v>
      </c>
      <c r="V57" s="162">
        <v>0</v>
      </c>
      <c r="W57" s="163">
        <v>0</v>
      </c>
      <c r="X57" s="163">
        <v>0</v>
      </c>
      <c r="Y57" s="302" t="b">
        <f t="shared" si="0"/>
        <v>1</v>
      </c>
      <c r="Z57" s="303">
        <f t="shared" si="1"/>
        <v>0.6</v>
      </c>
      <c r="AA57" s="304" t="b">
        <f t="shared" si="2"/>
        <v>1</v>
      </c>
      <c r="AB57" s="304" t="b">
        <f t="shared" si="3"/>
        <v>1</v>
      </c>
      <c r="AC57" s="263"/>
    </row>
    <row r="58" spans="1:29" s="259" customFormat="1" ht="24">
      <c r="A58" s="244">
        <v>56</v>
      </c>
      <c r="B58" s="156" t="s">
        <v>507</v>
      </c>
      <c r="C58" s="157" t="s">
        <v>57</v>
      </c>
      <c r="D58" s="158" t="s">
        <v>508</v>
      </c>
      <c r="E58" s="158">
        <v>1804011</v>
      </c>
      <c r="F58" s="156" t="s">
        <v>87</v>
      </c>
      <c r="G58" s="152" t="s">
        <v>509</v>
      </c>
      <c r="H58" s="156" t="s">
        <v>50</v>
      </c>
      <c r="I58" s="227">
        <v>0.897</v>
      </c>
      <c r="J58" s="159" t="s">
        <v>510</v>
      </c>
      <c r="K58" s="154">
        <v>2842585.13</v>
      </c>
      <c r="L58" s="155">
        <f>INT(K58*N58)</f>
        <v>1705551</v>
      </c>
      <c r="M58" s="161">
        <f>K58-L58</f>
        <v>1137034.13</v>
      </c>
      <c r="N58" s="160">
        <v>0.6</v>
      </c>
      <c r="O58" s="155">
        <v>0</v>
      </c>
      <c r="P58" s="155">
        <v>0</v>
      </c>
      <c r="Q58" s="154">
        <v>0</v>
      </c>
      <c r="R58" s="161">
        <f>L58</f>
        <v>1705551</v>
      </c>
      <c r="S58" s="161">
        <v>0</v>
      </c>
      <c r="T58" s="161">
        <v>0</v>
      </c>
      <c r="U58" s="161">
        <v>0</v>
      </c>
      <c r="V58" s="161">
        <v>0</v>
      </c>
      <c r="W58" s="155">
        <v>0</v>
      </c>
      <c r="X58" s="155">
        <v>0</v>
      </c>
      <c r="Y58" s="302" t="b">
        <f t="shared" si="0"/>
        <v>1</v>
      </c>
      <c r="Z58" s="303">
        <f t="shared" si="1"/>
        <v>0.6</v>
      </c>
      <c r="AA58" s="304" t="b">
        <f t="shared" si="2"/>
        <v>1</v>
      </c>
      <c r="AB58" s="304" t="b">
        <f t="shared" si="3"/>
        <v>1</v>
      </c>
      <c r="AC58" s="258"/>
    </row>
    <row r="59" spans="1:29" s="259" customFormat="1" ht="36">
      <c r="A59" s="244">
        <v>57</v>
      </c>
      <c r="B59" s="156" t="s">
        <v>485</v>
      </c>
      <c r="C59" s="157" t="s">
        <v>57</v>
      </c>
      <c r="D59" s="158" t="s">
        <v>486</v>
      </c>
      <c r="E59" s="158">
        <v>1809042</v>
      </c>
      <c r="F59" s="156" t="s">
        <v>397</v>
      </c>
      <c r="G59" s="152" t="s">
        <v>487</v>
      </c>
      <c r="H59" s="156" t="s">
        <v>51</v>
      </c>
      <c r="I59" s="227">
        <v>1.2426</v>
      </c>
      <c r="J59" s="159" t="s">
        <v>488</v>
      </c>
      <c r="K59" s="154">
        <v>4987866.11</v>
      </c>
      <c r="L59" s="155">
        <f>INT(K59*N59)</f>
        <v>2992719</v>
      </c>
      <c r="M59" s="161">
        <f>K59-L59</f>
        <v>1995147.1100000003</v>
      </c>
      <c r="N59" s="160">
        <v>0.6</v>
      </c>
      <c r="O59" s="155">
        <v>0</v>
      </c>
      <c r="P59" s="155">
        <v>0</v>
      </c>
      <c r="Q59" s="154">
        <v>0</v>
      </c>
      <c r="R59" s="161">
        <f>L59</f>
        <v>2992719</v>
      </c>
      <c r="S59" s="161">
        <v>0</v>
      </c>
      <c r="T59" s="161">
        <v>0</v>
      </c>
      <c r="U59" s="161">
        <v>0</v>
      </c>
      <c r="V59" s="161">
        <v>0</v>
      </c>
      <c r="W59" s="155">
        <v>0</v>
      </c>
      <c r="X59" s="155">
        <v>0</v>
      </c>
      <c r="Y59" s="302" t="b">
        <f>L59=SUM(O59:X59)</f>
        <v>1</v>
      </c>
      <c r="Z59" s="303">
        <f>ROUND(L59/K59,4)</f>
        <v>0.6</v>
      </c>
      <c r="AA59" s="304" t="b">
        <f>Z59=N59</f>
        <v>1</v>
      </c>
      <c r="AB59" s="304" t="b">
        <f>K59=L59+M59</f>
        <v>1</v>
      </c>
      <c r="AC59" s="258"/>
    </row>
    <row r="60" spans="1:29" s="266" customFormat="1" ht="48">
      <c r="A60" s="305">
        <v>58</v>
      </c>
      <c r="B60" s="306" t="s">
        <v>598</v>
      </c>
      <c r="C60" s="307" t="s">
        <v>56</v>
      </c>
      <c r="D60" s="308" t="s">
        <v>599</v>
      </c>
      <c r="E60" s="308">
        <v>1811092</v>
      </c>
      <c r="F60" s="306" t="s">
        <v>501</v>
      </c>
      <c r="G60" s="309" t="s">
        <v>600</v>
      </c>
      <c r="H60" s="306" t="s">
        <v>50</v>
      </c>
      <c r="I60" s="310">
        <v>0.177</v>
      </c>
      <c r="J60" s="311" t="s">
        <v>409</v>
      </c>
      <c r="K60" s="312">
        <v>1396272.95</v>
      </c>
      <c r="L60" s="313">
        <f>INT(K60*N60)</f>
        <v>837763</v>
      </c>
      <c r="M60" s="314">
        <f>K60-L60</f>
        <v>558509.95</v>
      </c>
      <c r="N60" s="315">
        <v>0.6</v>
      </c>
      <c r="O60" s="313">
        <v>0</v>
      </c>
      <c r="P60" s="313">
        <v>0</v>
      </c>
      <c r="Q60" s="312">
        <v>0</v>
      </c>
      <c r="R60" s="314">
        <f>L60</f>
        <v>837763</v>
      </c>
      <c r="S60" s="314">
        <v>0</v>
      </c>
      <c r="T60" s="314">
        <v>0</v>
      </c>
      <c r="U60" s="314">
        <v>0</v>
      </c>
      <c r="V60" s="314">
        <v>0</v>
      </c>
      <c r="W60" s="313">
        <v>0</v>
      </c>
      <c r="X60" s="313">
        <v>0</v>
      </c>
      <c r="Y60" s="302" t="b">
        <f t="shared" si="0"/>
        <v>1</v>
      </c>
      <c r="Z60" s="303">
        <f t="shared" si="1"/>
        <v>0.6</v>
      </c>
      <c r="AA60" s="304" t="b">
        <f t="shared" si="2"/>
        <v>1</v>
      </c>
      <c r="AB60" s="304" t="b">
        <f t="shared" si="3"/>
        <v>1</v>
      </c>
      <c r="AC60" s="265"/>
    </row>
    <row r="61" spans="1:29" s="261" customFormat="1" ht="36">
      <c r="A61" s="246">
        <v>59</v>
      </c>
      <c r="B61" s="146" t="s">
        <v>474</v>
      </c>
      <c r="C61" s="147" t="s">
        <v>56</v>
      </c>
      <c r="D61" s="148" t="s">
        <v>475</v>
      </c>
      <c r="E61" s="148">
        <v>1817011</v>
      </c>
      <c r="F61" s="146" t="s">
        <v>377</v>
      </c>
      <c r="G61" s="41" t="s">
        <v>476</v>
      </c>
      <c r="H61" s="146" t="s">
        <v>50</v>
      </c>
      <c r="I61" s="229">
        <v>1.7749</v>
      </c>
      <c r="J61" s="149" t="s">
        <v>209</v>
      </c>
      <c r="K61" s="162">
        <v>8170962</v>
      </c>
      <c r="L61" s="163">
        <v>4085481</v>
      </c>
      <c r="M61" s="164">
        <v>4085481</v>
      </c>
      <c r="N61" s="150">
        <v>0.5</v>
      </c>
      <c r="O61" s="163">
        <v>0</v>
      </c>
      <c r="P61" s="163">
        <v>0</v>
      </c>
      <c r="Q61" s="162">
        <v>0</v>
      </c>
      <c r="R61" s="164">
        <v>4085481</v>
      </c>
      <c r="S61" s="164">
        <v>0</v>
      </c>
      <c r="T61" s="164">
        <v>0</v>
      </c>
      <c r="U61" s="164">
        <v>0</v>
      </c>
      <c r="V61" s="164">
        <v>0</v>
      </c>
      <c r="W61" s="163">
        <v>0</v>
      </c>
      <c r="X61" s="163">
        <v>0</v>
      </c>
      <c r="Y61" s="302" t="b">
        <f t="shared" si="0"/>
        <v>1</v>
      </c>
      <c r="Z61" s="303">
        <f t="shared" si="1"/>
        <v>0.5</v>
      </c>
      <c r="AA61" s="304" t="b">
        <f t="shared" si="2"/>
        <v>1</v>
      </c>
      <c r="AB61" s="304" t="b">
        <f t="shared" si="3"/>
        <v>1</v>
      </c>
      <c r="AC61" s="262"/>
    </row>
    <row r="62" spans="1:29" s="261" customFormat="1" ht="60">
      <c r="A62" s="305">
        <v>60</v>
      </c>
      <c r="B62" s="146" t="s">
        <v>576</v>
      </c>
      <c r="C62" s="147" t="s">
        <v>56</v>
      </c>
      <c r="D62" s="148" t="s">
        <v>577</v>
      </c>
      <c r="E62" s="148">
        <v>1818053</v>
      </c>
      <c r="F62" s="146" t="s">
        <v>73</v>
      </c>
      <c r="G62" s="41" t="s">
        <v>578</v>
      </c>
      <c r="H62" s="146" t="s">
        <v>50</v>
      </c>
      <c r="I62" s="229">
        <v>1.457</v>
      </c>
      <c r="J62" s="149" t="s">
        <v>219</v>
      </c>
      <c r="K62" s="162">
        <v>1830967.94</v>
      </c>
      <c r="L62" s="163">
        <f>INT(K62*N62)</f>
        <v>1098580</v>
      </c>
      <c r="M62" s="164">
        <f>K62-L62</f>
        <v>732387.94</v>
      </c>
      <c r="N62" s="150">
        <v>0.6</v>
      </c>
      <c r="O62" s="163">
        <v>0</v>
      </c>
      <c r="P62" s="163">
        <v>0</v>
      </c>
      <c r="Q62" s="162">
        <v>0</v>
      </c>
      <c r="R62" s="164">
        <f>L62</f>
        <v>1098580</v>
      </c>
      <c r="S62" s="164">
        <v>0</v>
      </c>
      <c r="T62" s="164">
        <v>0</v>
      </c>
      <c r="U62" s="164">
        <v>0</v>
      </c>
      <c r="V62" s="164">
        <v>0</v>
      </c>
      <c r="W62" s="163">
        <v>0</v>
      </c>
      <c r="X62" s="163">
        <v>0</v>
      </c>
      <c r="Y62" s="302" t="b">
        <f t="shared" si="0"/>
        <v>1</v>
      </c>
      <c r="Z62" s="303">
        <f t="shared" si="1"/>
        <v>0.6</v>
      </c>
      <c r="AA62" s="304" t="b">
        <f t="shared" si="2"/>
        <v>1</v>
      </c>
      <c r="AB62" s="304" t="b">
        <f t="shared" si="3"/>
        <v>1</v>
      </c>
      <c r="AC62" s="262"/>
    </row>
    <row r="63" spans="1:29" s="270" customFormat="1" ht="24">
      <c r="A63" s="246">
        <v>61</v>
      </c>
      <c r="B63" s="146" t="s">
        <v>438</v>
      </c>
      <c r="C63" s="147" t="s">
        <v>56</v>
      </c>
      <c r="D63" s="148" t="s">
        <v>439</v>
      </c>
      <c r="E63" s="148">
        <v>1812012</v>
      </c>
      <c r="F63" s="146" t="s">
        <v>440</v>
      </c>
      <c r="G63" s="41" t="s">
        <v>441</v>
      </c>
      <c r="H63" s="146" t="s">
        <v>50</v>
      </c>
      <c r="I63" s="229">
        <v>0.855</v>
      </c>
      <c r="J63" s="149" t="s">
        <v>238</v>
      </c>
      <c r="K63" s="162">
        <v>1558090.2</v>
      </c>
      <c r="L63" s="163">
        <f>INT(K63*N63)</f>
        <v>934854</v>
      </c>
      <c r="M63" s="164">
        <f>K63-L63</f>
        <v>623236.2</v>
      </c>
      <c r="N63" s="150">
        <v>0.6</v>
      </c>
      <c r="O63" s="163">
        <v>0</v>
      </c>
      <c r="P63" s="163">
        <v>0</v>
      </c>
      <c r="Q63" s="162">
        <v>0</v>
      </c>
      <c r="R63" s="162">
        <f>L63</f>
        <v>934854</v>
      </c>
      <c r="S63" s="162">
        <v>0</v>
      </c>
      <c r="T63" s="162">
        <v>0</v>
      </c>
      <c r="U63" s="162">
        <v>0</v>
      </c>
      <c r="V63" s="162">
        <v>0</v>
      </c>
      <c r="W63" s="163">
        <v>0</v>
      </c>
      <c r="X63" s="163">
        <v>0</v>
      </c>
      <c r="Y63" s="302" t="b">
        <f t="shared" si="0"/>
        <v>1</v>
      </c>
      <c r="Z63" s="303">
        <f t="shared" si="1"/>
        <v>0.6</v>
      </c>
      <c r="AA63" s="304" t="b">
        <f t="shared" si="2"/>
        <v>1</v>
      </c>
      <c r="AB63" s="304" t="b">
        <f t="shared" si="3"/>
        <v>1</v>
      </c>
      <c r="AC63" s="269"/>
    </row>
    <row r="64" spans="1:29" s="271" customFormat="1" ht="24">
      <c r="A64" s="305">
        <v>62</v>
      </c>
      <c r="B64" s="146" t="s">
        <v>479</v>
      </c>
      <c r="C64" s="147" t="s">
        <v>56</v>
      </c>
      <c r="D64" s="148" t="s">
        <v>480</v>
      </c>
      <c r="E64" s="148">
        <v>1812042</v>
      </c>
      <c r="F64" s="146" t="s">
        <v>440</v>
      </c>
      <c r="G64" s="41" t="s">
        <v>481</v>
      </c>
      <c r="H64" s="146" t="s">
        <v>71</v>
      </c>
      <c r="I64" s="229">
        <v>2.368</v>
      </c>
      <c r="J64" s="149" t="s">
        <v>399</v>
      </c>
      <c r="K64" s="162">
        <v>1583634.08</v>
      </c>
      <c r="L64" s="163">
        <f>INT(K64*N64)</f>
        <v>950180</v>
      </c>
      <c r="M64" s="164">
        <f>K64-L64</f>
        <v>633454.0800000001</v>
      </c>
      <c r="N64" s="150">
        <v>0.6</v>
      </c>
      <c r="O64" s="163">
        <v>0</v>
      </c>
      <c r="P64" s="163">
        <v>0</v>
      </c>
      <c r="Q64" s="162">
        <v>0</v>
      </c>
      <c r="R64" s="164">
        <f>L64</f>
        <v>950180</v>
      </c>
      <c r="S64" s="164">
        <v>0</v>
      </c>
      <c r="T64" s="164">
        <v>0</v>
      </c>
      <c r="U64" s="164">
        <v>0</v>
      </c>
      <c r="V64" s="164">
        <v>0</v>
      </c>
      <c r="W64" s="163">
        <v>0</v>
      </c>
      <c r="X64" s="163">
        <v>0</v>
      </c>
      <c r="Y64" s="302" t="b">
        <f t="shared" si="0"/>
        <v>1</v>
      </c>
      <c r="Z64" s="303">
        <f t="shared" si="1"/>
        <v>0.6</v>
      </c>
      <c r="AA64" s="304" t="b">
        <f t="shared" si="2"/>
        <v>1</v>
      </c>
      <c r="AB64" s="304" t="b">
        <f t="shared" si="3"/>
        <v>1</v>
      </c>
      <c r="AC64" s="269"/>
    </row>
    <row r="65" spans="1:29" s="271" customFormat="1" ht="24">
      <c r="A65" s="246">
        <v>63</v>
      </c>
      <c r="B65" s="146" t="s">
        <v>489</v>
      </c>
      <c r="C65" s="147" t="s">
        <v>56</v>
      </c>
      <c r="D65" s="148" t="s">
        <v>490</v>
      </c>
      <c r="E65" s="148">
        <v>1820013</v>
      </c>
      <c r="F65" s="146" t="s">
        <v>357</v>
      </c>
      <c r="G65" s="41" t="s">
        <v>491</v>
      </c>
      <c r="H65" s="146" t="s">
        <v>51</v>
      </c>
      <c r="I65" s="229">
        <v>0.82243</v>
      </c>
      <c r="J65" s="149" t="s">
        <v>492</v>
      </c>
      <c r="K65" s="162">
        <v>3548404.97</v>
      </c>
      <c r="L65" s="163">
        <v>2129042</v>
      </c>
      <c r="M65" s="164">
        <v>1419362.9700000002</v>
      </c>
      <c r="N65" s="150">
        <v>0.6</v>
      </c>
      <c r="O65" s="163">
        <v>0</v>
      </c>
      <c r="P65" s="163">
        <v>0</v>
      </c>
      <c r="Q65" s="162">
        <v>0</v>
      </c>
      <c r="R65" s="164">
        <v>2129042</v>
      </c>
      <c r="S65" s="164">
        <v>0</v>
      </c>
      <c r="T65" s="164">
        <v>0</v>
      </c>
      <c r="U65" s="164">
        <v>0</v>
      </c>
      <c r="V65" s="164">
        <v>0</v>
      </c>
      <c r="W65" s="163">
        <v>0</v>
      </c>
      <c r="X65" s="163">
        <v>0</v>
      </c>
      <c r="Y65" s="302" t="b">
        <f t="shared" si="0"/>
        <v>1</v>
      </c>
      <c r="Z65" s="303">
        <f t="shared" si="1"/>
        <v>0.6</v>
      </c>
      <c r="AA65" s="304" t="b">
        <f t="shared" si="2"/>
        <v>1</v>
      </c>
      <c r="AB65" s="304" t="b">
        <f t="shared" si="3"/>
        <v>1</v>
      </c>
      <c r="AC65" s="269"/>
    </row>
    <row r="66" spans="1:29" s="271" customFormat="1" ht="72">
      <c r="A66" s="305">
        <v>64</v>
      </c>
      <c r="B66" s="146" t="s">
        <v>573</v>
      </c>
      <c r="C66" s="147" t="s">
        <v>56</v>
      </c>
      <c r="D66" s="148" t="s">
        <v>82</v>
      </c>
      <c r="E66" s="148">
        <v>1808053</v>
      </c>
      <c r="F66" s="146" t="s">
        <v>574</v>
      </c>
      <c r="G66" s="41" t="s">
        <v>575</v>
      </c>
      <c r="H66" s="146" t="s">
        <v>50</v>
      </c>
      <c r="I66" s="229">
        <v>2.2448</v>
      </c>
      <c r="J66" s="149" t="s">
        <v>238</v>
      </c>
      <c r="K66" s="162">
        <v>4151586.83</v>
      </c>
      <c r="L66" s="163">
        <f>INT(K66*N66)</f>
        <v>2490952</v>
      </c>
      <c r="M66" s="164">
        <f>K66-L66</f>
        <v>1660634.83</v>
      </c>
      <c r="N66" s="150">
        <v>0.6</v>
      </c>
      <c r="O66" s="163">
        <v>0</v>
      </c>
      <c r="P66" s="163">
        <v>0</v>
      </c>
      <c r="Q66" s="162">
        <v>0</v>
      </c>
      <c r="R66" s="164">
        <f>L66</f>
        <v>2490952</v>
      </c>
      <c r="S66" s="164">
        <v>0</v>
      </c>
      <c r="T66" s="164">
        <v>0</v>
      </c>
      <c r="U66" s="164">
        <v>0</v>
      </c>
      <c r="V66" s="164">
        <v>0</v>
      </c>
      <c r="W66" s="163">
        <v>0</v>
      </c>
      <c r="X66" s="163">
        <v>0</v>
      </c>
      <c r="Y66" s="302" t="b">
        <f t="shared" si="0"/>
        <v>1</v>
      </c>
      <c r="Z66" s="303">
        <f t="shared" si="1"/>
        <v>0.6</v>
      </c>
      <c r="AA66" s="304" t="b">
        <f t="shared" si="2"/>
        <v>1</v>
      </c>
      <c r="AB66" s="304" t="b">
        <f t="shared" si="3"/>
        <v>1</v>
      </c>
      <c r="AC66" s="269"/>
    </row>
    <row r="67" spans="1:29" s="271" customFormat="1" ht="36">
      <c r="A67" s="246">
        <v>65</v>
      </c>
      <c r="B67" s="146" t="s">
        <v>569</v>
      </c>
      <c r="C67" s="147" t="s">
        <v>56</v>
      </c>
      <c r="D67" s="148" t="s">
        <v>570</v>
      </c>
      <c r="E67" s="148">
        <v>1812022</v>
      </c>
      <c r="F67" s="146" t="s">
        <v>440</v>
      </c>
      <c r="G67" s="41" t="s">
        <v>571</v>
      </c>
      <c r="H67" s="146" t="s">
        <v>51</v>
      </c>
      <c r="I67" s="229">
        <v>2.02792</v>
      </c>
      <c r="J67" s="149" t="s">
        <v>572</v>
      </c>
      <c r="K67" s="162">
        <v>3475086.49</v>
      </c>
      <c r="L67" s="163">
        <f>INT(K67*N67)</f>
        <v>2085051</v>
      </c>
      <c r="M67" s="164">
        <f>K67-L67</f>
        <v>1390035.4900000002</v>
      </c>
      <c r="N67" s="150">
        <v>0.6</v>
      </c>
      <c r="O67" s="163">
        <v>0</v>
      </c>
      <c r="P67" s="163">
        <v>0</v>
      </c>
      <c r="Q67" s="162">
        <v>0</v>
      </c>
      <c r="R67" s="164">
        <f>L67</f>
        <v>2085051</v>
      </c>
      <c r="S67" s="164">
        <v>0</v>
      </c>
      <c r="T67" s="164">
        <v>0</v>
      </c>
      <c r="U67" s="164">
        <v>0</v>
      </c>
      <c r="V67" s="164">
        <v>0</v>
      </c>
      <c r="W67" s="163">
        <v>0</v>
      </c>
      <c r="X67" s="163">
        <v>0</v>
      </c>
      <c r="Y67" s="302" t="b">
        <f t="shared" si="0"/>
        <v>1</v>
      </c>
      <c r="Z67" s="303">
        <f t="shared" si="1"/>
        <v>0.6</v>
      </c>
      <c r="AA67" s="304" t="b">
        <f t="shared" si="2"/>
        <v>1</v>
      </c>
      <c r="AB67" s="304" t="b">
        <f t="shared" si="3"/>
        <v>1</v>
      </c>
      <c r="AC67" s="269"/>
    </row>
    <row r="68" spans="1:29" s="271" customFormat="1" ht="36">
      <c r="A68" s="305">
        <v>66</v>
      </c>
      <c r="B68" s="317" t="s">
        <v>482</v>
      </c>
      <c r="C68" s="317" t="s">
        <v>56</v>
      </c>
      <c r="D68" s="317" t="s">
        <v>483</v>
      </c>
      <c r="E68" s="316">
        <v>1812053</v>
      </c>
      <c r="F68" s="164" t="s">
        <v>440</v>
      </c>
      <c r="G68" s="164" t="s">
        <v>484</v>
      </c>
      <c r="H68" s="317" t="s">
        <v>51</v>
      </c>
      <c r="I68" s="317">
        <v>0.6928</v>
      </c>
      <c r="J68" s="164" t="s">
        <v>350</v>
      </c>
      <c r="K68" s="164">
        <v>3732669.36</v>
      </c>
      <c r="L68" s="164">
        <f>INT(K68*N68)</f>
        <v>2239601</v>
      </c>
      <c r="M68" s="164">
        <f>K68-L68</f>
        <v>1493068.3599999999</v>
      </c>
      <c r="N68" s="150">
        <v>0.6</v>
      </c>
      <c r="O68" s="163">
        <v>0</v>
      </c>
      <c r="P68" s="163">
        <v>0</v>
      </c>
      <c r="Q68" s="162">
        <v>0</v>
      </c>
      <c r="R68" s="164">
        <f>L68</f>
        <v>2239601</v>
      </c>
      <c r="S68" s="164">
        <v>0</v>
      </c>
      <c r="T68" s="164">
        <v>0</v>
      </c>
      <c r="U68" s="164">
        <v>0</v>
      </c>
      <c r="V68" s="164">
        <v>0</v>
      </c>
      <c r="W68" s="163">
        <v>0</v>
      </c>
      <c r="X68" s="163">
        <v>0</v>
      </c>
      <c r="Y68" s="302" t="b">
        <f>L68=SUM(O68:X68)</f>
        <v>1</v>
      </c>
      <c r="Z68" s="303">
        <f>ROUND(L68/K68,4)</f>
        <v>0.6</v>
      </c>
      <c r="AA68" s="304" t="b">
        <f>Z68=N68</f>
        <v>1</v>
      </c>
      <c r="AB68" s="304" t="b">
        <f>K68=L68+M68</f>
        <v>1</v>
      </c>
      <c r="AC68" s="269"/>
    </row>
    <row r="69" spans="1:29" s="271" customFormat="1" ht="48">
      <c r="A69" s="246">
        <v>67</v>
      </c>
      <c r="B69" s="146" t="s">
        <v>432</v>
      </c>
      <c r="C69" s="147" t="s">
        <v>56</v>
      </c>
      <c r="D69" s="148" t="s">
        <v>433</v>
      </c>
      <c r="E69" s="148">
        <v>1804073</v>
      </c>
      <c r="F69" s="146" t="s">
        <v>87</v>
      </c>
      <c r="G69" s="41" t="s">
        <v>434</v>
      </c>
      <c r="H69" s="146" t="s">
        <v>50</v>
      </c>
      <c r="I69" s="229">
        <v>1.4014000000000002</v>
      </c>
      <c r="J69" s="149" t="s">
        <v>247</v>
      </c>
      <c r="K69" s="162">
        <v>2624224.44</v>
      </c>
      <c r="L69" s="163">
        <v>1574534</v>
      </c>
      <c r="M69" s="164">
        <v>1049690.44</v>
      </c>
      <c r="N69" s="150">
        <v>0.6</v>
      </c>
      <c r="O69" s="163">
        <v>0</v>
      </c>
      <c r="P69" s="163">
        <v>0</v>
      </c>
      <c r="Q69" s="162">
        <v>0</v>
      </c>
      <c r="R69" s="162">
        <v>1574534</v>
      </c>
      <c r="S69" s="162">
        <v>0</v>
      </c>
      <c r="T69" s="162">
        <v>0</v>
      </c>
      <c r="U69" s="162">
        <v>0</v>
      </c>
      <c r="V69" s="162">
        <v>0</v>
      </c>
      <c r="W69" s="163">
        <v>0</v>
      </c>
      <c r="X69" s="163">
        <v>0</v>
      </c>
      <c r="Y69" s="302" t="b">
        <f>L69=SUM(O69:X69)</f>
        <v>1</v>
      </c>
      <c r="Z69" s="303">
        <f>ROUND(L69/K69,4)</f>
        <v>0.6</v>
      </c>
      <c r="AA69" s="304" t="b">
        <f>Z69=N69</f>
        <v>1</v>
      </c>
      <c r="AB69" s="304" t="b">
        <f>K69=L69+M69</f>
        <v>1</v>
      </c>
      <c r="AC69" s="269"/>
    </row>
    <row r="70" spans="1:29" s="271" customFormat="1" ht="36">
      <c r="A70" s="305">
        <v>68</v>
      </c>
      <c r="B70" s="306"/>
      <c r="C70" s="306" t="s">
        <v>56</v>
      </c>
      <c r="D70" s="308" t="s">
        <v>611</v>
      </c>
      <c r="E70" s="148">
        <v>1818062</v>
      </c>
      <c r="F70" s="306" t="s">
        <v>73</v>
      </c>
      <c r="G70" s="41" t="s">
        <v>612</v>
      </c>
      <c r="H70" s="306" t="s">
        <v>50</v>
      </c>
      <c r="I70" s="310"/>
      <c r="J70" s="311"/>
      <c r="K70" s="312">
        <v>423262.21</v>
      </c>
      <c r="L70" s="312">
        <f>INT(K70*N70)</f>
        <v>253957</v>
      </c>
      <c r="M70" s="314">
        <f>K70-L70</f>
        <v>169305.21000000002</v>
      </c>
      <c r="N70" s="315">
        <v>0.6</v>
      </c>
      <c r="O70" s="312">
        <v>0</v>
      </c>
      <c r="P70" s="312">
        <v>0</v>
      </c>
      <c r="Q70" s="312">
        <v>0</v>
      </c>
      <c r="R70" s="314">
        <f>L70</f>
        <v>253957</v>
      </c>
      <c r="S70" s="314">
        <v>0</v>
      </c>
      <c r="T70" s="314">
        <v>0</v>
      </c>
      <c r="U70" s="314">
        <v>0</v>
      </c>
      <c r="V70" s="314">
        <v>0</v>
      </c>
      <c r="W70" s="312">
        <v>0</v>
      </c>
      <c r="X70" s="312">
        <v>0</v>
      </c>
      <c r="Y70" s="302" t="b">
        <f aca="true" t="shared" si="4" ref="Y70:Y75">L70=SUM(O70:X70)</f>
        <v>1</v>
      </c>
      <c r="Z70" s="303">
        <f aca="true" t="shared" si="5" ref="Z70:Z75">ROUND(L70/K70,4)</f>
        <v>0.6</v>
      </c>
      <c r="AA70" s="304" t="b">
        <f aca="true" t="shared" si="6" ref="AA70:AA75">Z70=N70</f>
        <v>1</v>
      </c>
      <c r="AB70" s="304" t="b">
        <f aca="true" t="shared" si="7" ref="AB70:AB75">K70=L70+M70</f>
        <v>1</v>
      </c>
      <c r="AC70" s="269"/>
    </row>
    <row r="71" spans="1:29" s="271" customFormat="1" ht="60">
      <c r="A71" s="246">
        <v>69</v>
      </c>
      <c r="B71" s="146" t="s">
        <v>593</v>
      </c>
      <c r="C71" s="147" t="s">
        <v>56</v>
      </c>
      <c r="D71" s="148" t="s">
        <v>156</v>
      </c>
      <c r="E71" s="148">
        <v>1814053</v>
      </c>
      <c r="F71" s="146" t="s">
        <v>407</v>
      </c>
      <c r="G71" s="41" t="s">
        <v>594</v>
      </c>
      <c r="H71" s="146" t="s">
        <v>51</v>
      </c>
      <c r="I71" s="229">
        <v>0.404</v>
      </c>
      <c r="J71" s="149" t="s">
        <v>340</v>
      </c>
      <c r="K71" s="162">
        <v>1899688.82</v>
      </c>
      <c r="L71" s="163">
        <v>1139813</v>
      </c>
      <c r="M71" s="164">
        <v>759875.8200000001</v>
      </c>
      <c r="N71" s="150">
        <v>0.6</v>
      </c>
      <c r="O71" s="163">
        <v>0</v>
      </c>
      <c r="P71" s="163">
        <v>0</v>
      </c>
      <c r="Q71" s="162">
        <v>0</v>
      </c>
      <c r="R71" s="164">
        <v>1139813</v>
      </c>
      <c r="S71" s="164">
        <v>0</v>
      </c>
      <c r="T71" s="164">
        <v>0</v>
      </c>
      <c r="U71" s="164">
        <v>0</v>
      </c>
      <c r="V71" s="164">
        <v>0</v>
      </c>
      <c r="W71" s="163">
        <v>0</v>
      </c>
      <c r="X71" s="163">
        <v>0</v>
      </c>
      <c r="Y71" s="302" t="b">
        <f t="shared" si="4"/>
        <v>1</v>
      </c>
      <c r="Z71" s="303">
        <f t="shared" si="5"/>
        <v>0.6</v>
      </c>
      <c r="AA71" s="304" t="b">
        <f t="shared" si="6"/>
        <v>1</v>
      </c>
      <c r="AB71" s="304" t="b">
        <f t="shared" si="7"/>
        <v>1</v>
      </c>
      <c r="AC71" s="269"/>
    </row>
    <row r="72" spans="1:29" s="271" customFormat="1" ht="24">
      <c r="A72" s="305">
        <v>70</v>
      </c>
      <c r="B72" s="146"/>
      <c r="C72" s="147" t="s">
        <v>56</v>
      </c>
      <c r="D72" s="148" t="s">
        <v>613</v>
      </c>
      <c r="E72" s="148">
        <v>1815012</v>
      </c>
      <c r="F72" s="146" t="s">
        <v>81</v>
      </c>
      <c r="G72" s="41" t="s">
        <v>614</v>
      </c>
      <c r="H72" s="146" t="s">
        <v>50</v>
      </c>
      <c r="I72" s="229">
        <v>0.49695</v>
      </c>
      <c r="J72" s="149" t="s">
        <v>620</v>
      </c>
      <c r="K72" s="162">
        <v>728294.95</v>
      </c>
      <c r="L72" s="163">
        <f>INT(K72*N72)</f>
        <v>436976</v>
      </c>
      <c r="M72" s="164">
        <f>K72-L72</f>
        <v>291318.94999999995</v>
      </c>
      <c r="N72" s="150">
        <v>0.6</v>
      </c>
      <c r="O72" s="163">
        <v>0</v>
      </c>
      <c r="P72" s="163">
        <v>0</v>
      </c>
      <c r="Q72" s="163">
        <v>0</v>
      </c>
      <c r="R72" s="164">
        <f>L72</f>
        <v>436976</v>
      </c>
      <c r="S72" s="314">
        <v>0</v>
      </c>
      <c r="T72" s="314">
        <v>0</v>
      </c>
      <c r="U72" s="314">
        <v>0</v>
      </c>
      <c r="V72" s="314">
        <v>0</v>
      </c>
      <c r="W72" s="312">
        <v>0</v>
      </c>
      <c r="X72" s="312">
        <v>0</v>
      </c>
      <c r="Y72" s="302" t="b">
        <f t="shared" si="4"/>
        <v>1</v>
      </c>
      <c r="Z72" s="303">
        <f t="shared" si="5"/>
        <v>0.6</v>
      </c>
      <c r="AA72" s="304" t="b">
        <f t="shared" si="6"/>
        <v>1</v>
      </c>
      <c r="AB72" s="304" t="b">
        <f t="shared" si="7"/>
        <v>1</v>
      </c>
      <c r="AC72" s="269"/>
    </row>
    <row r="73" spans="1:29" s="271" customFormat="1" ht="72">
      <c r="A73" s="246">
        <v>71</v>
      </c>
      <c r="B73" s="146"/>
      <c r="C73" s="147" t="s">
        <v>56</v>
      </c>
      <c r="D73" s="148" t="s">
        <v>615</v>
      </c>
      <c r="E73" s="148">
        <v>1806023</v>
      </c>
      <c r="F73" s="146" t="s">
        <v>616</v>
      </c>
      <c r="G73" s="41" t="s">
        <v>631</v>
      </c>
      <c r="H73" s="146" t="s">
        <v>50</v>
      </c>
      <c r="I73" s="229"/>
      <c r="J73" s="149"/>
      <c r="K73" s="162">
        <v>1053406.54</v>
      </c>
      <c r="L73" s="163">
        <f>INT(K73*N73)</f>
        <v>632043</v>
      </c>
      <c r="M73" s="164">
        <f>K73-L73</f>
        <v>421363.54000000004</v>
      </c>
      <c r="N73" s="150">
        <v>0.6</v>
      </c>
      <c r="O73" s="163">
        <v>0</v>
      </c>
      <c r="P73" s="163">
        <v>0</v>
      </c>
      <c r="Q73" s="163">
        <v>0</v>
      </c>
      <c r="R73" s="164">
        <f>L73</f>
        <v>632043</v>
      </c>
      <c r="S73" s="314">
        <v>0</v>
      </c>
      <c r="T73" s="314">
        <v>0</v>
      </c>
      <c r="U73" s="314">
        <v>0</v>
      </c>
      <c r="V73" s="314">
        <v>0</v>
      </c>
      <c r="W73" s="312">
        <v>0</v>
      </c>
      <c r="X73" s="312">
        <v>0</v>
      </c>
      <c r="Y73" s="302" t="b">
        <f t="shared" si="4"/>
        <v>1</v>
      </c>
      <c r="Z73" s="303">
        <f t="shared" si="5"/>
        <v>0.6</v>
      </c>
      <c r="AA73" s="304" t="b">
        <f t="shared" si="6"/>
        <v>1</v>
      </c>
      <c r="AB73" s="304" t="b">
        <f t="shared" si="7"/>
        <v>1</v>
      </c>
      <c r="AC73" s="269"/>
    </row>
    <row r="74" spans="1:29" s="271" customFormat="1" ht="36">
      <c r="A74" s="305">
        <v>72</v>
      </c>
      <c r="B74" s="146" t="s">
        <v>446</v>
      </c>
      <c r="C74" s="147" t="s">
        <v>56</v>
      </c>
      <c r="D74" s="148" t="s">
        <v>447</v>
      </c>
      <c r="E74" s="148">
        <v>1809053</v>
      </c>
      <c r="F74" s="146" t="s">
        <v>397</v>
      </c>
      <c r="G74" s="41" t="s">
        <v>448</v>
      </c>
      <c r="H74" s="146" t="s">
        <v>50</v>
      </c>
      <c r="I74" s="229">
        <v>0.502</v>
      </c>
      <c r="J74" s="149" t="s">
        <v>258</v>
      </c>
      <c r="K74" s="162">
        <v>1365872.45</v>
      </c>
      <c r="L74" s="163">
        <f>INT(K74*N74)</f>
        <v>819523</v>
      </c>
      <c r="M74" s="164">
        <f>K74-L74</f>
        <v>546349.45</v>
      </c>
      <c r="N74" s="150">
        <v>0.6</v>
      </c>
      <c r="O74" s="163">
        <v>0</v>
      </c>
      <c r="P74" s="163">
        <v>0</v>
      </c>
      <c r="Q74" s="162">
        <v>0</v>
      </c>
      <c r="R74" s="164">
        <f>L74</f>
        <v>819523</v>
      </c>
      <c r="S74" s="164">
        <v>0</v>
      </c>
      <c r="T74" s="164">
        <v>0</v>
      </c>
      <c r="U74" s="164">
        <v>0</v>
      </c>
      <c r="V74" s="164">
        <v>0</v>
      </c>
      <c r="W74" s="163">
        <v>0</v>
      </c>
      <c r="X74" s="163">
        <v>0</v>
      </c>
      <c r="Y74" s="302" t="b">
        <f t="shared" si="4"/>
        <v>1</v>
      </c>
      <c r="Z74" s="303">
        <f t="shared" si="5"/>
        <v>0.6</v>
      </c>
      <c r="AA74" s="304" t="b">
        <f t="shared" si="6"/>
        <v>1</v>
      </c>
      <c r="AB74" s="304" t="b">
        <f t="shared" si="7"/>
        <v>1</v>
      </c>
      <c r="AC74" s="269"/>
    </row>
    <row r="75" spans="1:29" s="271" customFormat="1" ht="36">
      <c r="A75" s="246">
        <v>73</v>
      </c>
      <c r="B75" s="146" t="s">
        <v>513</v>
      </c>
      <c r="C75" s="147" t="s">
        <v>56</v>
      </c>
      <c r="D75" s="148" t="s">
        <v>514</v>
      </c>
      <c r="E75" s="148">
        <v>1811073</v>
      </c>
      <c r="F75" s="146" t="s">
        <v>501</v>
      </c>
      <c r="G75" s="41" t="s">
        <v>515</v>
      </c>
      <c r="H75" s="146" t="s">
        <v>50</v>
      </c>
      <c r="I75" s="229">
        <v>0.80755</v>
      </c>
      <c r="J75" s="149" t="s">
        <v>516</v>
      </c>
      <c r="K75" s="162">
        <v>1756290.27</v>
      </c>
      <c r="L75" s="163">
        <f>INT(K75*N75)</f>
        <v>1053774</v>
      </c>
      <c r="M75" s="164">
        <f>K75-L75</f>
        <v>702516.27</v>
      </c>
      <c r="N75" s="150">
        <v>0.6</v>
      </c>
      <c r="O75" s="163">
        <v>0</v>
      </c>
      <c r="P75" s="163">
        <v>0</v>
      </c>
      <c r="Q75" s="162">
        <v>0</v>
      </c>
      <c r="R75" s="164">
        <f>L75</f>
        <v>1053774</v>
      </c>
      <c r="S75" s="164">
        <v>0</v>
      </c>
      <c r="T75" s="164">
        <v>0</v>
      </c>
      <c r="U75" s="164">
        <v>0</v>
      </c>
      <c r="V75" s="164">
        <v>0</v>
      </c>
      <c r="W75" s="163">
        <v>0</v>
      </c>
      <c r="X75" s="163">
        <v>0</v>
      </c>
      <c r="Y75" s="302" t="b">
        <f t="shared" si="4"/>
        <v>1</v>
      </c>
      <c r="Z75" s="303">
        <f t="shared" si="5"/>
        <v>0.6</v>
      </c>
      <c r="AA75" s="304" t="b">
        <f t="shared" si="6"/>
        <v>1</v>
      </c>
      <c r="AB75" s="304" t="b">
        <f t="shared" si="7"/>
        <v>1</v>
      </c>
      <c r="AC75" s="269"/>
    </row>
    <row r="76" spans="1:29" s="271" customFormat="1" ht="24">
      <c r="A76" s="305">
        <v>74</v>
      </c>
      <c r="B76" s="146" t="s">
        <v>455</v>
      </c>
      <c r="C76" s="147" t="s">
        <v>56</v>
      </c>
      <c r="D76" s="148" t="s">
        <v>456</v>
      </c>
      <c r="E76" s="148">
        <v>1814082</v>
      </c>
      <c r="F76" s="146" t="s">
        <v>407</v>
      </c>
      <c r="G76" s="41" t="s">
        <v>457</v>
      </c>
      <c r="H76" s="146" t="s">
        <v>50</v>
      </c>
      <c r="I76" s="229">
        <v>0.97</v>
      </c>
      <c r="J76" s="149" t="s">
        <v>270</v>
      </c>
      <c r="K76" s="162">
        <v>552034.61</v>
      </c>
      <c r="L76" s="163">
        <v>331220</v>
      </c>
      <c r="M76" s="164">
        <v>220814.61</v>
      </c>
      <c r="N76" s="150">
        <v>0.6</v>
      </c>
      <c r="O76" s="163">
        <v>0</v>
      </c>
      <c r="P76" s="163">
        <v>0</v>
      </c>
      <c r="Q76" s="162">
        <v>0</v>
      </c>
      <c r="R76" s="164">
        <v>331220</v>
      </c>
      <c r="S76" s="164">
        <v>0</v>
      </c>
      <c r="T76" s="164">
        <v>0</v>
      </c>
      <c r="U76" s="164">
        <v>0</v>
      </c>
      <c r="V76" s="164">
        <v>0</v>
      </c>
      <c r="W76" s="163">
        <v>0</v>
      </c>
      <c r="X76" s="163">
        <v>0</v>
      </c>
      <c r="Y76" s="302"/>
      <c r="Z76" s="303"/>
      <c r="AA76" s="304"/>
      <c r="AB76" s="304"/>
      <c r="AC76" s="269"/>
    </row>
    <row r="77" spans="1:29" s="211" customFormat="1" ht="36">
      <c r="A77" s="245" t="s">
        <v>635</v>
      </c>
      <c r="B77" s="204" t="s">
        <v>427</v>
      </c>
      <c r="C77" s="205" t="s">
        <v>57</v>
      </c>
      <c r="D77" s="206" t="s">
        <v>150</v>
      </c>
      <c r="E77" s="206">
        <v>1803042</v>
      </c>
      <c r="F77" s="204" t="s">
        <v>393</v>
      </c>
      <c r="G77" s="207" t="s">
        <v>428</v>
      </c>
      <c r="H77" s="204" t="s">
        <v>51</v>
      </c>
      <c r="I77" s="228">
        <v>0.642</v>
      </c>
      <c r="J77" s="208" t="s">
        <v>241</v>
      </c>
      <c r="K77" s="197">
        <v>2582865.89</v>
      </c>
      <c r="L77" s="198">
        <v>113955.87</v>
      </c>
      <c r="M77" s="199">
        <f>1781949.02+686961</f>
        <v>2468910.02</v>
      </c>
      <c r="N77" s="209">
        <v>0.5</v>
      </c>
      <c r="O77" s="198">
        <v>0</v>
      </c>
      <c r="P77" s="198">
        <v>0</v>
      </c>
      <c r="Q77" s="198">
        <v>0</v>
      </c>
      <c r="R77" s="197">
        <v>113955.87</v>
      </c>
      <c r="S77" s="197">
        <v>0</v>
      </c>
      <c r="T77" s="197">
        <v>0</v>
      </c>
      <c r="U77" s="197">
        <v>0</v>
      </c>
      <c r="V77" s="197">
        <v>0</v>
      </c>
      <c r="W77" s="197">
        <v>0</v>
      </c>
      <c r="X77" s="197">
        <v>0</v>
      </c>
      <c r="Y77" s="302" t="b">
        <f>L77=SUM(O77:X77)</f>
        <v>1</v>
      </c>
      <c r="Z77" s="303">
        <f>ROUND(L77/K77,4)</f>
        <v>0.0441</v>
      </c>
      <c r="AA77" s="304" t="b">
        <f>Z77=N77</f>
        <v>0</v>
      </c>
      <c r="AB77" s="304" t="b">
        <f>K77=L77+M77</f>
        <v>1</v>
      </c>
      <c r="AC77" s="210"/>
    </row>
    <row r="78" spans="1:28" ht="15">
      <c r="A78" s="369" t="s">
        <v>46</v>
      </c>
      <c r="B78" s="370"/>
      <c r="C78" s="370"/>
      <c r="D78" s="370"/>
      <c r="E78" s="370"/>
      <c r="F78" s="370"/>
      <c r="G78" s="370"/>
      <c r="H78" s="371"/>
      <c r="I78" s="279">
        <f>SUM(I3:I77)</f>
        <v>108.74321</v>
      </c>
      <c r="J78" s="280" t="s">
        <v>14</v>
      </c>
      <c r="K78" s="42">
        <f>SUM(K3:K77)</f>
        <v>330433719.19</v>
      </c>
      <c r="L78" s="42">
        <f>SUM(L3:L77)</f>
        <v>197868882.52</v>
      </c>
      <c r="M78" s="42">
        <f>SUM(M3:M77)</f>
        <v>132564836.66999997</v>
      </c>
      <c r="N78" s="281" t="s">
        <v>14</v>
      </c>
      <c r="O78" s="42">
        <f aca="true" t="shared" si="8" ref="O78:X78">SUM(O3:O77)</f>
        <v>0</v>
      </c>
      <c r="P78" s="42">
        <f>SUM(P3:P77)</f>
        <v>5017520</v>
      </c>
      <c r="Q78" s="42">
        <f t="shared" si="8"/>
        <v>27244523.35</v>
      </c>
      <c r="R78" s="42">
        <f>SUM(R3:R77)</f>
        <v>108270349.52000001</v>
      </c>
      <c r="S78" s="42">
        <f t="shared" si="8"/>
        <v>39543496.699999996</v>
      </c>
      <c r="T78" s="42">
        <f t="shared" si="8"/>
        <v>14277666.950000003</v>
      </c>
      <c r="U78" s="42">
        <f t="shared" si="8"/>
        <v>3515326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273"/>
      <c r="Z78" s="275"/>
      <c r="AA78" s="276"/>
      <c r="AB78" s="276"/>
    </row>
    <row r="79" spans="1:28" ht="15">
      <c r="A79" s="369" t="s">
        <v>39</v>
      </c>
      <c r="B79" s="370"/>
      <c r="C79" s="370"/>
      <c r="D79" s="370"/>
      <c r="E79" s="370"/>
      <c r="F79" s="370"/>
      <c r="G79" s="370"/>
      <c r="H79" s="371"/>
      <c r="I79" s="279">
        <f>SUMIF($C$3:$C$77,"K",I3:I77)</f>
        <v>39.19581</v>
      </c>
      <c r="J79" s="280" t="s">
        <v>14</v>
      </c>
      <c r="K79" s="42">
        <f>SUMIF($C$3:$C$77,"K",K3:K77)</f>
        <v>156566426.18</v>
      </c>
      <c r="L79" s="42">
        <f>SUMIF($C$3:$C$77,"K",L3:L77)</f>
        <v>99889470.65</v>
      </c>
      <c r="M79" s="42">
        <f>SUMIF($C$3:$C$77,"K",M3:M77)</f>
        <v>56676955.53</v>
      </c>
      <c r="N79" s="281" t="s">
        <v>14</v>
      </c>
      <c r="O79" s="42">
        <f aca="true" t="shared" si="9" ref="O79:X79">SUMIF($C$3:$C$77,"K",O3:O77)</f>
        <v>0</v>
      </c>
      <c r="P79" s="42">
        <f t="shared" si="9"/>
        <v>5017520</v>
      </c>
      <c r="Q79" s="42">
        <f t="shared" si="9"/>
        <v>27244523.35</v>
      </c>
      <c r="R79" s="42">
        <f t="shared" si="9"/>
        <v>46537852.65</v>
      </c>
      <c r="S79" s="42">
        <f t="shared" si="9"/>
        <v>21089574.65</v>
      </c>
      <c r="T79" s="42">
        <f t="shared" si="9"/>
        <v>0</v>
      </c>
      <c r="U79" s="42">
        <f t="shared" si="9"/>
        <v>0</v>
      </c>
      <c r="V79" s="42">
        <f t="shared" si="9"/>
        <v>0</v>
      </c>
      <c r="W79" s="42">
        <f t="shared" si="9"/>
        <v>0</v>
      </c>
      <c r="X79" s="42">
        <f t="shared" si="9"/>
        <v>0</v>
      </c>
      <c r="Y79" s="273"/>
      <c r="Z79" s="275"/>
      <c r="AA79" s="276"/>
      <c r="AB79" s="276"/>
    </row>
    <row r="80" spans="1:28" ht="15">
      <c r="A80" s="369" t="s">
        <v>40</v>
      </c>
      <c r="B80" s="370"/>
      <c r="C80" s="370"/>
      <c r="D80" s="370"/>
      <c r="E80" s="370"/>
      <c r="F80" s="370"/>
      <c r="G80" s="370"/>
      <c r="H80" s="371"/>
      <c r="I80" s="279">
        <f>SUMIF($C$3:$C$77,"N",I3:I77)</f>
        <v>46.308679999999995</v>
      </c>
      <c r="J80" s="280" t="s">
        <v>14</v>
      </c>
      <c r="K80" s="42">
        <f>SUMIF($C$3:$C$77,"N",K3:K77)</f>
        <v>79092646.80999999</v>
      </c>
      <c r="L80" s="42">
        <f>SUMIF($C$3:$C$77,"N",L3:L77)</f>
        <v>44575122</v>
      </c>
      <c r="M80" s="42">
        <f>SUMIF($C$3:$C$77,"N",M3:M77)</f>
        <v>34517524.81</v>
      </c>
      <c r="N80" s="281" t="s">
        <v>14</v>
      </c>
      <c r="O80" s="42">
        <f aca="true" t="shared" si="10" ref="O80:X80">SUMIF($C$3:$C$77,"N",O3:O77)</f>
        <v>0</v>
      </c>
      <c r="P80" s="42">
        <f t="shared" si="10"/>
        <v>0</v>
      </c>
      <c r="Q80" s="42">
        <f t="shared" si="10"/>
        <v>0</v>
      </c>
      <c r="R80" s="42">
        <f t="shared" si="10"/>
        <v>44575122</v>
      </c>
      <c r="S80" s="42">
        <f t="shared" si="10"/>
        <v>0</v>
      </c>
      <c r="T80" s="42">
        <f t="shared" si="10"/>
        <v>0</v>
      </c>
      <c r="U80" s="42">
        <f t="shared" si="10"/>
        <v>0</v>
      </c>
      <c r="V80" s="42">
        <f t="shared" si="10"/>
        <v>0</v>
      </c>
      <c r="W80" s="42">
        <f t="shared" si="10"/>
        <v>0</v>
      </c>
      <c r="X80" s="42">
        <f t="shared" si="10"/>
        <v>0</v>
      </c>
      <c r="Y80" s="273"/>
      <c r="Z80" s="275"/>
      <c r="AA80" s="276"/>
      <c r="AB80" s="276"/>
    </row>
    <row r="81" spans="1:28" ht="15">
      <c r="A81" s="366" t="s">
        <v>41</v>
      </c>
      <c r="B81" s="367"/>
      <c r="C81" s="367"/>
      <c r="D81" s="367"/>
      <c r="E81" s="367"/>
      <c r="F81" s="367"/>
      <c r="G81" s="367"/>
      <c r="H81" s="368"/>
      <c r="I81" s="282">
        <f>SUMIF($C$3:$C$77,"W",I3:I77)</f>
        <v>23.23872</v>
      </c>
      <c r="J81" s="283" t="s">
        <v>14</v>
      </c>
      <c r="K81" s="43">
        <f>SUMIF($C$3:$C$77,"W",K3:K77)</f>
        <v>94774646.20000002</v>
      </c>
      <c r="L81" s="43">
        <f>SUMIF($C$3:$C$77,"W",L3:L77)</f>
        <v>53404289.87</v>
      </c>
      <c r="M81" s="43">
        <f>SUMIF($C$3:$C$77,"W",M3:M77)</f>
        <v>41370356.330000006</v>
      </c>
      <c r="N81" s="284" t="s">
        <v>14</v>
      </c>
      <c r="O81" s="43">
        <f aca="true" t="shared" si="11" ref="O81:X81">SUMIF($C$3:$C$77,"W",O3:O77)</f>
        <v>0</v>
      </c>
      <c r="P81" s="43">
        <f t="shared" si="11"/>
        <v>0</v>
      </c>
      <c r="Q81" s="43">
        <f t="shared" si="11"/>
        <v>0</v>
      </c>
      <c r="R81" s="43">
        <f t="shared" si="11"/>
        <v>17157374.87</v>
      </c>
      <c r="S81" s="43">
        <f t="shared" si="11"/>
        <v>18453922.049999997</v>
      </c>
      <c r="T81" s="43">
        <f t="shared" si="11"/>
        <v>14277666.950000003</v>
      </c>
      <c r="U81" s="43">
        <f t="shared" si="11"/>
        <v>3515326</v>
      </c>
      <c r="V81" s="43">
        <f t="shared" si="11"/>
        <v>0</v>
      </c>
      <c r="W81" s="43">
        <f t="shared" si="11"/>
        <v>0</v>
      </c>
      <c r="X81" s="43">
        <f t="shared" si="11"/>
        <v>0</v>
      </c>
      <c r="Y81" s="273"/>
      <c r="Z81" s="275"/>
      <c r="AA81" s="276"/>
      <c r="AB81" s="276"/>
    </row>
    <row r="82" spans="1:28" ht="15">
      <c r="A82" s="247"/>
      <c r="B82" s="287"/>
      <c r="C82" s="287"/>
      <c r="D82" s="287"/>
      <c r="E82" s="287"/>
      <c r="F82" s="287"/>
      <c r="G82" s="4" t="s">
        <v>614</v>
      </c>
      <c r="H82" s="287"/>
      <c r="I82" s="287"/>
      <c r="J82" s="287"/>
      <c r="K82" s="5"/>
      <c r="L82" s="4"/>
      <c r="M82" s="4"/>
      <c r="N82" s="288"/>
      <c r="O82" s="4"/>
      <c r="P82" s="4"/>
      <c r="R82" s="4"/>
      <c r="S82" s="4"/>
      <c r="T82" s="4"/>
      <c r="U82" s="4"/>
      <c r="V82" s="4"/>
      <c r="W82" s="4"/>
      <c r="X82" s="4"/>
      <c r="Y82" s="37"/>
      <c r="Z82" s="37"/>
      <c r="AA82" s="37"/>
      <c r="AB82" s="213"/>
    </row>
    <row r="83" spans="1:28" ht="15">
      <c r="A83" s="255" t="s">
        <v>25</v>
      </c>
      <c r="B83" s="318"/>
      <c r="C83" s="287"/>
      <c r="D83" s="287"/>
      <c r="E83" s="287"/>
      <c r="F83" s="287"/>
      <c r="G83" s="4"/>
      <c r="H83" s="287"/>
      <c r="I83" s="287"/>
      <c r="J83" s="287"/>
      <c r="L83" s="4"/>
      <c r="M83" s="4"/>
      <c r="N83" s="288"/>
      <c r="O83" s="4"/>
      <c r="P83" s="4"/>
      <c r="R83" s="4"/>
      <c r="S83" s="4"/>
      <c r="T83" s="4"/>
      <c r="U83" s="4"/>
      <c r="V83" s="4"/>
      <c r="W83" s="4"/>
      <c r="X83" s="4"/>
      <c r="Y83" s="37"/>
      <c r="Z83" s="37"/>
      <c r="AA83" s="37"/>
      <c r="AB83" s="213"/>
    </row>
    <row r="84" spans="1:28" ht="15">
      <c r="A84" s="256" t="s">
        <v>26</v>
      </c>
      <c r="B84" s="318"/>
      <c r="C84" s="287"/>
      <c r="D84" s="287"/>
      <c r="E84" s="287"/>
      <c r="F84" s="287"/>
      <c r="G84" s="4"/>
      <c r="H84" s="287"/>
      <c r="I84" s="287"/>
      <c r="J84" s="287"/>
      <c r="L84" s="4"/>
      <c r="M84" s="4"/>
      <c r="N84" s="288"/>
      <c r="O84" s="4"/>
      <c r="P84" s="4"/>
      <c r="R84" s="4"/>
      <c r="S84" s="4"/>
      <c r="T84" s="4"/>
      <c r="U84" s="4"/>
      <c r="V84" s="4"/>
      <c r="W84" s="4"/>
      <c r="X84" s="4"/>
      <c r="Y84" s="37"/>
      <c r="Z84" s="37"/>
      <c r="AA84" s="37"/>
      <c r="AB84" s="213"/>
    </row>
    <row r="85" spans="1:28" ht="15">
      <c r="A85" s="255" t="s">
        <v>44</v>
      </c>
      <c r="B85" s="318"/>
      <c r="C85" s="287"/>
      <c r="D85" s="287"/>
      <c r="E85" s="287"/>
      <c r="F85" s="287"/>
      <c r="G85" s="4"/>
      <c r="H85" s="287"/>
      <c r="I85" s="287"/>
      <c r="J85" s="287"/>
      <c r="L85" s="4"/>
      <c r="M85" s="4"/>
      <c r="N85" s="288"/>
      <c r="O85" s="4"/>
      <c r="P85" s="4"/>
      <c r="R85" s="4"/>
      <c r="S85" s="292"/>
      <c r="T85" s="4"/>
      <c r="U85" s="4"/>
      <c r="V85" s="4"/>
      <c r="W85" s="4"/>
      <c r="X85" s="4"/>
      <c r="Y85" s="37"/>
      <c r="Z85" s="37"/>
      <c r="AA85" s="37"/>
      <c r="AB85" s="213"/>
    </row>
    <row r="86" spans="1:28" ht="15">
      <c r="A86" s="289" t="s">
        <v>29</v>
      </c>
      <c r="B86" s="318"/>
      <c r="C86" s="287"/>
      <c r="D86" s="287"/>
      <c r="E86" s="287"/>
      <c r="F86" s="287"/>
      <c r="G86" s="4"/>
      <c r="H86" s="287"/>
      <c r="I86" s="287"/>
      <c r="J86" s="287"/>
      <c r="L86" s="4"/>
      <c r="M86" s="4"/>
      <c r="N86" s="288"/>
      <c r="O86" s="4"/>
      <c r="P86" s="4"/>
      <c r="R86" s="4"/>
      <c r="S86" s="4"/>
      <c r="T86" s="4"/>
      <c r="U86" s="4"/>
      <c r="V86" s="4"/>
      <c r="W86" s="4"/>
      <c r="X86" s="4"/>
      <c r="Y86" s="37"/>
      <c r="Z86" s="37"/>
      <c r="AA86" s="37"/>
      <c r="AB86" s="213"/>
    </row>
    <row r="87" spans="1:29" s="2" customFormat="1" ht="15">
      <c r="A87" s="221"/>
      <c r="B87" s="221"/>
      <c r="C87" s="221"/>
      <c r="D87" s="221"/>
      <c r="E87" s="221"/>
      <c r="F87" s="221"/>
      <c r="H87" s="221"/>
      <c r="I87" s="221"/>
      <c r="J87" s="221"/>
      <c r="K87" s="28"/>
      <c r="L87" s="222"/>
      <c r="M87" s="222"/>
      <c r="N87" s="151"/>
      <c r="Q87" s="230"/>
      <c r="R87" s="222"/>
      <c r="S87" s="222"/>
      <c r="T87" s="222"/>
      <c r="U87" s="222"/>
      <c r="V87" s="222"/>
      <c r="W87" s="222"/>
      <c r="X87" s="222"/>
      <c r="Y87" s="231"/>
      <c r="Z87" s="231"/>
      <c r="AA87" s="231"/>
      <c r="AB87" s="224"/>
      <c r="AC87" s="222"/>
    </row>
    <row r="88" spans="1:29" s="2" customFormat="1" ht="15">
      <c r="A88" s="221"/>
      <c r="B88" s="221"/>
      <c r="C88" s="221"/>
      <c r="D88" s="221"/>
      <c r="E88" s="221"/>
      <c r="F88" s="221"/>
      <c r="H88" s="221"/>
      <c r="I88" s="221"/>
      <c r="J88" s="221"/>
      <c r="K88" s="28"/>
      <c r="M88" s="222"/>
      <c r="N88" s="151"/>
      <c r="P88" s="222"/>
      <c r="Q88" s="232"/>
      <c r="R88" s="222"/>
      <c r="S88" s="222"/>
      <c r="T88" s="222"/>
      <c r="Y88" s="231"/>
      <c r="Z88" s="231"/>
      <c r="AA88" s="231"/>
      <c r="AB88" s="224"/>
      <c r="AC88" s="222"/>
    </row>
    <row r="89" spans="1:29" s="2" customFormat="1" ht="15">
      <c r="A89" s="221"/>
      <c r="B89" s="221"/>
      <c r="C89" s="221"/>
      <c r="D89" s="221"/>
      <c r="E89" s="221"/>
      <c r="F89" s="221"/>
      <c r="H89" s="221"/>
      <c r="I89" s="221"/>
      <c r="J89" s="226"/>
      <c r="K89" s="28"/>
      <c r="M89" s="222"/>
      <c r="N89" s="151"/>
      <c r="P89" s="222"/>
      <c r="Q89" s="28"/>
      <c r="T89" s="222"/>
      <c r="Y89" s="231"/>
      <c r="Z89" s="231"/>
      <c r="AA89" s="231"/>
      <c r="AB89" s="224"/>
      <c r="AC89" s="222"/>
    </row>
    <row r="90" spans="1:29" s="2" customFormat="1" ht="15">
      <c r="A90" s="221"/>
      <c r="B90" s="221"/>
      <c r="C90" s="221"/>
      <c r="D90" s="221"/>
      <c r="E90" s="221"/>
      <c r="F90" s="221"/>
      <c r="H90" s="221"/>
      <c r="I90" s="221"/>
      <c r="J90" s="221"/>
      <c r="K90" s="28"/>
      <c r="M90" s="222"/>
      <c r="N90" s="233"/>
      <c r="O90" s="233"/>
      <c r="P90" s="233"/>
      <c r="Q90" s="233"/>
      <c r="Y90" s="231"/>
      <c r="Z90" s="231"/>
      <c r="AA90" s="231"/>
      <c r="AB90" s="224"/>
      <c r="AC90" s="222"/>
    </row>
    <row r="91" spans="1:29" s="2" customFormat="1" ht="15">
      <c r="A91" s="221"/>
      <c r="B91" s="221"/>
      <c r="C91" s="221"/>
      <c r="D91" s="221"/>
      <c r="E91" s="221"/>
      <c r="F91" s="221"/>
      <c r="H91" s="221"/>
      <c r="I91" s="221"/>
      <c r="J91" s="226"/>
      <c r="L91" s="222"/>
      <c r="M91" s="222"/>
      <c r="N91" s="234"/>
      <c r="O91" s="234"/>
      <c r="P91" s="234"/>
      <c r="Q91" s="234"/>
      <c r="T91" s="222"/>
      <c r="Y91" s="231"/>
      <c r="Z91" s="231"/>
      <c r="AA91" s="231"/>
      <c r="AB91" s="224"/>
      <c r="AC91" s="222"/>
    </row>
    <row r="92" spans="1:29" s="2" customFormat="1" ht="15">
      <c r="A92" s="221"/>
      <c r="B92" s="221"/>
      <c r="C92" s="221"/>
      <c r="D92" s="221"/>
      <c r="E92" s="221"/>
      <c r="F92" s="221"/>
      <c r="H92" s="221"/>
      <c r="I92" s="221"/>
      <c r="J92" s="221"/>
      <c r="K92" s="28"/>
      <c r="N92" s="225"/>
      <c r="O92" s="151"/>
      <c r="P92" s="151"/>
      <c r="Q92" s="235"/>
      <c r="R92" s="222"/>
      <c r="U92" s="236"/>
      <c r="Y92" s="231"/>
      <c r="Z92" s="231"/>
      <c r="AA92" s="231"/>
      <c r="AB92" s="224"/>
      <c r="AC92" s="222"/>
    </row>
    <row r="93" spans="1:29" s="2" customFormat="1" ht="15">
      <c r="A93" s="221"/>
      <c r="B93" s="221"/>
      <c r="C93" s="221"/>
      <c r="D93" s="221"/>
      <c r="E93" s="221"/>
      <c r="F93" s="221"/>
      <c r="H93" s="221"/>
      <c r="I93" s="221"/>
      <c r="J93" s="221"/>
      <c r="K93" s="28"/>
      <c r="N93" s="178"/>
      <c r="O93" s="179"/>
      <c r="P93" s="180"/>
      <c r="Q93" s="178"/>
      <c r="R93" s="237"/>
      <c r="S93" s="151"/>
      <c r="T93" s="151"/>
      <c r="U93" s="225"/>
      <c r="Y93" s="231"/>
      <c r="Z93" s="231"/>
      <c r="AA93" s="231"/>
      <c r="AB93" s="224"/>
      <c r="AC93" s="222"/>
    </row>
    <row r="94" spans="1:29" s="2" customFormat="1" ht="15">
      <c r="A94" s="221"/>
      <c r="B94" s="221"/>
      <c r="C94" s="221"/>
      <c r="D94" s="221"/>
      <c r="E94" s="221"/>
      <c r="F94" s="221"/>
      <c r="H94" s="221"/>
      <c r="I94" s="221"/>
      <c r="J94" s="221"/>
      <c r="K94" s="28"/>
      <c r="L94" s="222"/>
      <c r="N94" s="225"/>
      <c r="O94" s="237"/>
      <c r="P94" s="151"/>
      <c r="Q94" s="235"/>
      <c r="R94" s="178"/>
      <c r="S94" s="179"/>
      <c r="T94" s="180"/>
      <c r="U94" s="178"/>
      <c r="Y94" s="231"/>
      <c r="Z94" s="231"/>
      <c r="AA94" s="231"/>
      <c r="AB94" s="224"/>
      <c r="AC94" s="222"/>
    </row>
    <row r="95" spans="1:29" s="2" customFormat="1" ht="15">
      <c r="A95" s="221"/>
      <c r="B95" s="221"/>
      <c r="C95" s="221"/>
      <c r="D95" s="221"/>
      <c r="E95" s="221"/>
      <c r="F95" s="221"/>
      <c r="H95" s="221"/>
      <c r="I95" s="221"/>
      <c r="J95" s="221"/>
      <c r="K95" s="28"/>
      <c r="L95" s="222"/>
      <c r="M95" s="222"/>
      <c r="N95" s="238"/>
      <c r="O95" s="238"/>
      <c r="P95" s="238"/>
      <c r="Q95" s="238"/>
      <c r="R95" s="225"/>
      <c r="S95" s="237"/>
      <c r="T95" s="151"/>
      <c r="U95" s="225"/>
      <c r="Y95" s="231"/>
      <c r="Z95" s="231"/>
      <c r="AA95" s="231"/>
      <c r="AB95" s="224"/>
      <c r="AC95" s="222"/>
    </row>
    <row r="96" spans="1:29" s="2" customFormat="1" ht="15">
      <c r="A96" s="221"/>
      <c r="B96" s="221"/>
      <c r="C96" s="221"/>
      <c r="D96" s="221"/>
      <c r="E96" s="221"/>
      <c r="F96" s="221"/>
      <c r="H96" s="221"/>
      <c r="I96" s="221"/>
      <c r="J96" s="221"/>
      <c r="K96" s="28"/>
      <c r="N96" s="238"/>
      <c r="O96" s="238"/>
      <c r="P96" s="238"/>
      <c r="Q96" s="238"/>
      <c r="Y96" s="231"/>
      <c r="Z96" s="231"/>
      <c r="AA96" s="231"/>
      <c r="AB96" s="224"/>
      <c r="AC96" s="222"/>
    </row>
    <row r="97" spans="1:29" s="2" customFormat="1" ht="15">
      <c r="A97" s="221"/>
      <c r="B97" s="221"/>
      <c r="C97" s="221"/>
      <c r="D97" s="221"/>
      <c r="E97" s="221"/>
      <c r="F97" s="221"/>
      <c r="H97" s="221"/>
      <c r="I97" s="221"/>
      <c r="J97" s="221"/>
      <c r="K97" s="28"/>
      <c r="N97" s="238"/>
      <c r="O97" s="238"/>
      <c r="P97" s="238"/>
      <c r="Q97" s="238"/>
      <c r="Y97" s="231"/>
      <c r="Z97" s="231"/>
      <c r="AA97" s="231"/>
      <c r="AB97" s="224"/>
      <c r="AC97" s="222"/>
    </row>
    <row r="98" spans="18:19" ht="15">
      <c r="R98" s="175"/>
      <c r="S98" s="24"/>
    </row>
    <row r="99" ht="15">
      <c r="S99" s="175"/>
    </row>
    <row r="101" spans="15:19" ht="15">
      <c r="O101" s="175"/>
      <c r="S101" s="175"/>
    </row>
    <row r="103" ht="15">
      <c r="R103" s="175"/>
    </row>
    <row r="104" ht="15">
      <c r="S104" s="175"/>
    </row>
    <row r="107" ht="15">
      <c r="S107" s="175"/>
    </row>
    <row r="108" ht="15">
      <c r="R108" s="175"/>
    </row>
  </sheetData>
  <sheetProtection/>
  <mergeCells count="19">
    <mergeCell ref="A81:H81"/>
    <mergeCell ref="A80:H80"/>
    <mergeCell ref="E1:E2"/>
    <mergeCell ref="A79:H79"/>
    <mergeCell ref="N1:N2"/>
    <mergeCell ref="O1:X1"/>
    <mergeCell ref="L1:L2"/>
    <mergeCell ref="M1:M2"/>
    <mergeCell ref="A78:H78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78:AB81">
    <cfRule type="cellIs" priority="63" dxfId="33" operator="equal">
      <formula>FALSE</formula>
    </cfRule>
  </conditionalFormatting>
  <conditionalFormatting sqref="Y78:AA81">
    <cfRule type="containsText" priority="61" dxfId="33" operator="containsText" text="fałsz">
      <formula>NOT(ISERROR(SEARCH("fałsz",Y78)))</formula>
    </cfRule>
  </conditionalFormatting>
  <conditionalFormatting sqref="Y3:AB77">
    <cfRule type="cellIs" priority="2" dxfId="33" operator="equal">
      <formula>FALSE</formula>
    </cfRule>
  </conditionalFormatting>
  <conditionalFormatting sqref="Y3:AA77">
    <cfRule type="containsText" priority="1" dxfId="33" operator="containsText" text="fałsz">
      <formula>NOT(ISERROR(SEARCH("fałsz",Y3)))</formula>
    </cfRule>
  </conditionalFormatting>
  <dataValidations count="3">
    <dataValidation type="list" allowBlank="1" showInputMessage="1" showErrorMessage="1" sqref="G54 H3:H53 H55:H57 G58:G62 H63 G64:G68 H69:H70 G71 H72:H73 H77 G74:G76">
      <formula1>"B,P,R"</formula1>
    </dataValidation>
    <dataValidation type="list" allowBlank="1" showInputMessage="1" showErrorMessage="1" sqref="C3:C53 C55:C59 C61 C68:C69 C74:C77">
      <formula1>"N,K,W"</formula1>
    </dataValidation>
    <dataValidation type="list" allowBlank="1" showInputMessage="1" showErrorMessage="1" sqref="C54 C60 C62:C67 C70:C73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0" r:id="rId3"/>
  <headerFooter>
    <oddHeader>&amp;LWojewództwo podkarpackie&amp;"Arial,Normalny"&amp;9&amp;K000000 &amp;"-,Standardowy"&amp;11&amp;K01+000- zadania gminne lista podstawowa</oddHeader>
    <oddFooter>&amp;CStrona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view="pageBreakPreview" zoomScaleNormal="78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9.8515625" style="1" customWidth="1"/>
    <col min="2" max="5" width="15.7109375" style="13" customWidth="1"/>
    <col min="6" max="6" width="54.00390625" style="13" customWidth="1"/>
    <col min="7" max="7" width="15.7109375" style="13" customWidth="1"/>
    <col min="8" max="8" width="15.7109375" style="1" customWidth="1"/>
    <col min="9" max="9" width="15.7109375" style="13" customWidth="1"/>
    <col min="10" max="10" width="15.7109375" style="34" customWidth="1"/>
    <col min="11" max="11" width="19.57421875" style="13" customWidth="1"/>
    <col min="12" max="12" width="15.7109375" style="13" customWidth="1"/>
    <col min="13" max="13" width="15.7109375" style="1" customWidth="1"/>
    <col min="14" max="14" width="15.7109375" style="13" customWidth="1"/>
    <col min="15" max="15" width="14.8515625" style="13" customWidth="1"/>
    <col min="16" max="23" width="15.7109375" style="13" customWidth="1"/>
    <col min="24" max="27" width="15.7109375" style="239" customWidth="1"/>
    <col min="28" max="16384" width="9.140625" style="13" customWidth="1"/>
  </cols>
  <sheetData>
    <row r="1" spans="1:27" ht="19.5" customHeight="1">
      <c r="A1" s="363" t="s">
        <v>4</v>
      </c>
      <c r="B1" s="363" t="s">
        <v>5</v>
      </c>
      <c r="C1" s="364" t="s">
        <v>47</v>
      </c>
      <c r="D1" s="360" t="s">
        <v>6</v>
      </c>
      <c r="E1" s="364" t="s">
        <v>34</v>
      </c>
      <c r="F1" s="360" t="s">
        <v>7</v>
      </c>
      <c r="G1" s="363" t="s">
        <v>27</v>
      </c>
      <c r="H1" s="363" t="s">
        <v>8</v>
      </c>
      <c r="I1" s="363" t="s">
        <v>24</v>
      </c>
      <c r="J1" s="363" t="s">
        <v>9</v>
      </c>
      <c r="K1" s="363" t="s">
        <v>10</v>
      </c>
      <c r="L1" s="360" t="s">
        <v>13</v>
      </c>
      <c r="M1" s="363" t="s">
        <v>11</v>
      </c>
      <c r="N1" s="363" t="s">
        <v>12</v>
      </c>
      <c r="O1" s="363"/>
      <c r="P1" s="363"/>
      <c r="Q1" s="363"/>
      <c r="R1" s="363"/>
      <c r="S1" s="363"/>
      <c r="T1" s="363"/>
      <c r="U1" s="363"/>
      <c r="V1" s="363"/>
      <c r="W1" s="363"/>
      <c r="X1" s="319"/>
      <c r="Y1" s="319"/>
      <c r="Z1" s="319"/>
      <c r="AA1" s="319"/>
    </row>
    <row r="2" spans="1:27" ht="28.5" customHeight="1">
      <c r="A2" s="363"/>
      <c r="B2" s="363"/>
      <c r="C2" s="365"/>
      <c r="D2" s="361"/>
      <c r="E2" s="365"/>
      <c r="F2" s="361"/>
      <c r="G2" s="363"/>
      <c r="H2" s="363"/>
      <c r="I2" s="363"/>
      <c r="J2" s="363"/>
      <c r="K2" s="363"/>
      <c r="L2" s="361"/>
      <c r="M2" s="363"/>
      <c r="N2" s="272">
        <v>2019</v>
      </c>
      <c r="O2" s="272">
        <v>2020</v>
      </c>
      <c r="P2" s="272">
        <v>2021</v>
      </c>
      <c r="Q2" s="272">
        <v>2022</v>
      </c>
      <c r="R2" s="272">
        <v>2023</v>
      </c>
      <c r="S2" s="272">
        <v>2024</v>
      </c>
      <c r="T2" s="272">
        <v>2025</v>
      </c>
      <c r="U2" s="272">
        <v>2026</v>
      </c>
      <c r="V2" s="272">
        <v>2027</v>
      </c>
      <c r="W2" s="272">
        <v>2028</v>
      </c>
      <c r="X2" s="302" t="s">
        <v>30</v>
      </c>
      <c r="Y2" s="302" t="s">
        <v>31</v>
      </c>
      <c r="Z2" s="302" t="s">
        <v>32</v>
      </c>
      <c r="AA2" s="240" t="s">
        <v>33</v>
      </c>
    </row>
    <row r="3" spans="1:28" s="170" customFormat="1" ht="24">
      <c r="A3" s="156">
        <v>1</v>
      </c>
      <c r="B3" s="156" t="s">
        <v>259</v>
      </c>
      <c r="C3" s="157" t="s">
        <v>57</v>
      </c>
      <c r="D3" s="158" t="s">
        <v>64</v>
      </c>
      <c r="E3" s="158">
        <v>1808000</v>
      </c>
      <c r="F3" s="168" t="s">
        <v>260</v>
      </c>
      <c r="G3" s="156" t="s">
        <v>50</v>
      </c>
      <c r="H3" s="227">
        <v>5.718</v>
      </c>
      <c r="I3" s="159" t="s">
        <v>261</v>
      </c>
      <c r="J3" s="193">
        <v>12859374.24</v>
      </c>
      <c r="K3" s="194">
        <v>6429687</v>
      </c>
      <c r="L3" s="195">
        <v>6429687.24</v>
      </c>
      <c r="M3" s="160">
        <v>0.5</v>
      </c>
      <c r="N3" s="194">
        <v>0</v>
      </c>
      <c r="O3" s="194">
        <v>0</v>
      </c>
      <c r="P3" s="195">
        <v>0</v>
      </c>
      <c r="Q3" s="195">
        <v>3214844</v>
      </c>
      <c r="R3" s="195">
        <v>3214843</v>
      </c>
      <c r="S3" s="195">
        <v>0</v>
      </c>
      <c r="T3" s="195">
        <v>0</v>
      </c>
      <c r="U3" s="195">
        <v>0</v>
      </c>
      <c r="V3" s="194">
        <v>0</v>
      </c>
      <c r="W3" s="193">
        <v>0</v>
      </c>
      <c r="X3" s="302" t="b">
        <f>K3=SUM(N3:W3)</f>
        <v>1</v>
      </c>
      <c r="Y3" s="303">
        <f>ROUND(K3/J3,4)</f>
        <v>0.5</v>
      </c>
      <c r="Z3" s="304" t="b">
        <f>Y3=M3</f>
        <v>1</v>
      </c>
      <c r="AA3" s="304" t="b">
        <f>J3=K3+L3</f>
        <v>1</v>
      </c>
      <c r="AB3" s="169"/>
    </row>
    <row r="4" spans="1:28" s="268" customFormat="1" ht="21.75" customHeight="1">
      <c r="A4" s="156">
        <v>2</v>
      </c>
      <c r="B4" s="156"/>
      <c r="C4" s="157" t="s">
        <v>57</v>
      </c>
      <c r="D4" s="158" t="s">
        <v>58</v>
      </c>
      <c r="E4" s="158" t="s">
        <v>190</v>
      </c>
      <c r="F4" s="168" t="s">
        <v>607</v>
      </c>
      <c r="G4" s="156" t="s">
        <v>51</v>
      </c>
      <c r="H4" s="227">
        <f>0.39656+0.2118</f>
        <v>0.60836</v>
      </c>
      <c r="I4" s="159" t="s">
        <v>608</v>
      </c>
      <c r="J4" s="193">
        <v>8741551</v>
      </c>
      <c r="K4" s="194">
        <f>INT(J4*M4)</f>
        <v>5244930</v>
      </c>
      <c r="L4" s="195">
        <f>J4-K4</f>
        <v>3496621</v>
      </c>
      <c r="M4" s="160">
        <v>0.6</v>
      </c>
      <c r="N4" s="194"/>
      <c r="O4" s="194"/>
      <c r="P4" s="195"/>
      <c r="Q4" s="195">
        <v>2400000</v>
      </c>
      <c r="R4" s="195">
        <f>K4-Q4</f>
        <v>2844930</v>
      </c>
      <c r="S4" s="195"/>
      <c r="T4" s="195"/>
      <c r="U4" s="195"/>
      <c r="V4" s="194"/>
      <c r="W4" s="193"/>
      <c r="X4" s="302" t="b">
        <f aca="true" t="shared" si="0" ref="X4:X21">K4=SUM(N4:W4)</f>
        <v>1</v>
      </c>
      <c r="Y4" s="303">
        <f aca="true" t="shared" si="1" ref="Y4:Y21">ROUND(K4/J4,4)</f>
        <v>0.6</v>
      </c>
      <c r="Z4" s="304" t="b">
        <f aca="true" t="shared" si="2" ref="Z4:Z21">Y4=M4</f>
        <v>1</v>
      </c>
      <c r="AA4" s="304" t="b">
        <f aca="true" t="shared" si="3" ref="AA4:AA21">J4=K4+L4</f>
        <v>1</v>
      </c>
      <c r="AB4" s="267"/>
    </row>
    <row r="5" spans="1:28" s="170" customFormat="1" ht="36">
      <c r="A5" s="156">
        <v>3</v>
      </c>
      <c r="B5" s="156" t="s">
        <v>265</v>
      </c>
      <c r="C5" s="157" t="s">
        <v>57</v>
      </c>
      <c r="D5" s="158" t="s">
        <v>59</v>
      </c>
      <c r="E5" s="158">
        <v>1803000</v>
      </c>
      <c r="F5" s="168" t="s">
        <v>266</v>
      </c>
      <c r="G5" s="156" t="s">
        <v>50</v>
      </c>
      <c r="H5" s="227">
        <v>4.947</v>
      </c>
      <c r="I5" s="159" t="s">
        <v>267</v>
      </c>
      <c r="J5" s="193">
        <v>9943871.81</v>
      </c>
      <c r="K5" s="194">
        <v>5966323</v>
      </c>
      <c r="L5" s="195">
        <v>3977548.8100000005</v>
      </c>
      <c r="M5" s="160">
        <v>0.6</v>
      </c>
      <c r="N5" s="194">
        <v>0</v>
      </c>
      <c r="O5" s="194">
        <v>0</v>
      </c>
      <c r="P5" s="195">
        <v>0</v>
      </c>
      <c r="Q5" s="195">
        <v>2386529</v>
      </c>
      <c r="R5" s="195">
        <v>3579794</v>
      </c>
      <c r="S5" s="195">
        <v>0</v>
      </c>
      <c r="T5" s="195">
        <v>0</v>
      </c>
      <c r="U5" s="195">
        <v>0</v>
      </c>
      <c r="V5" s="194">
        <v>0</v>
      </c>
      <c r="W5" s="193">
        <v>0</v>
      </c>
      <c r="X5" s="302" t="b">
        <f t="shared" si="0"/>
        <v>1</v>
      </c>
      <c r="Y5" s="303">
        <f t="shared" si="1"/>
        <v>0.6</v>
      </c>
      <c r="Z5" s="304" t="b">
        <f t="shared" si="2"/>
        <v>1</v>
      </c>
      <c r="AA5" s="304" t="b">
        <f t="shared" si="3"/>
        <v>1</v>
      </c>
      <c r="AB5" s="169"/>
    </row>
    <row r="6" spans="1:28" s="37" customFormat="1" ht="36">
      <c r="A6" s="146">
        <v>4</v>
      </c>
      <c r="B6" s="146" t="s">
        <v>271</v>
      </c>
      <c r="C6" s="147" t="s">
        <v>56</v>
      </c>
      <c r="D6" s="148" t="s">
        <v>187</v>
      </c>
      <c r="E6" s="148">
        <v>1806000</v>
      </c>
      <c r="F6" s="145" t="s">
        <v>272</v>
      </c>
      <c r="G6" s="146" t="s">
        <v>50</v>
      </c>
      <c r="H6" s="229">
        <v>1.568</v>
      </c>
      <c r="I6" s="149" t="s">
        <v>247</v>
      </c>
      <c r="J6" s="190">
        <v>2008965.86</v>
      </c>
      <c r="K6" s="191">
        <v>1205379</v>
      </c>
      <c r="L6" s="192">
        <v>803586.8600000001</v>
      </c>
      <c r="M6" s="150">
        <v>0.6</v>
      </c>
      <c r="N6" s="191">
        <v>0</v>
      </c>
      <c r="O6" s="191">
        <v>0</v>
      </c>
      <c r="P6" s="192">
        <v>0</v>
      </c>
      <c r="Q6" s="192">
        <v>1205379</v>
      </c>
      <c r="R6" s="192">
        <v>0</v>
      </c>
      <c r="S6" s="192">
        <v>0</v>
      </c>
      <c r="T6" s="192">
        <v>0</v>
      </c>
      <c r="U6" s="192">
        <v>0</v>
      </c>
      <c r="V6" s="191">
        <v>0</v>
      </c>
      <c r="W6" s="190">
        <v>0</v>
      </c>
      <c r="X6" s="302" t="b">
        <f t="shared" si="0"/>
        <v>1</v>
      </c>
      <c r="Y6" s="303">
        <f t="shared" si="1"/>
        <v>0.6</v>
      </c>
      <c r="Z6" s="304" t="b">
        <f t="shared" si="2"/>
        <v>1</v>
      </c>
      <c r="AA6" s="304" t="b">
        <f t="shared" si="3"/>
        <v>1</v>
      </c>
      <c r="AB6" s="38"/>
    </row>
    <row r="7" spans="1:28" s="37" customFormat="1" ht="24">
      <c r="A7" s="146">
        <v>5</v>
      </c>
      <c r="B7" s="146" t="s">
        <v>273</v>
      </c>
      <c r="C7" s="147" t="s">
        <v>56</v>
      </c>
      <c r="D7" s="148" t="s">
        <v>60</v>
      </c>
      <c r="E7" s="148">
        <v>1805000</v>
      </c>
      <c r="F7" s="145" t="s">
        <v>274</v>
      </c>
      <c r="G7" s="146" t="s">
        <v>50</v>
      </c>
      <c r="H7" s="229">
        <v>0.998</v>
      </c>
      <c r="I7" s="149" t="s">
        <v>250</v>
      </c>
      <c r="J7" s="190">
        <v>1970925.59</v>
      </c>
      <c r="K7" s="191">
        <v>1182555</v>
      </c>
      <c r="L7" s="192">
        <v>788370.5900000001</v>
      </c>
      <c r="M7" s="150">
        <v>0.6</v>
      </c>
      <c r="N7" s="191">
        <v>0</v>
      </c>
      <c r="O7" s="191">
        <v>0</v>
      </c>
      <c r="P7" s="192">
        <v>0</v>
      </c>
      <c r="Q7" s="192">
        <v>1182555</v>
      </c>
      <c r="R7" s="192">
        <v>0</v>
      </c>
      <c r="S7" s="192">
        <v>0</v>
      </c>
      <c r="T7" s="192">
        <v>0</v>
      </c>
      <c r="U7" s="192">
        <v>0</v>
      </c>
      <c r="V7" s="191">
        <v>0</v>
      </c>
      <c r="W7" s="190">
        <v>0</v>
      </c>
      <c r="X7" s="302" t="b">
        <f t="shared" si="0"/>
        <v>1</v>
      </c>
      <c r="Y7" s="303">
        <f t="shared" si="1"/>
        <v>0.6</v>
      </c>
      <c r="Z7" s="304" t="b">
        <f t="shared" si="2"/>
        <v>1</v>
      </c>
      <c r="AA7" s="304" t="b">
        <f t="shared" si="3"/>
        <v>1</v>
      </c>
      <c r="AB7" s="38"/>
    </row>
    <row r="8" spans="1:28" s="37" customFormat="1" ht="36">
      <c r="A8" s="146">
        <v>6</v>
      </c>
      <c r="B8" s="146" t="s">
        <v>275</v>
      </c>
      <c r="C8" s="147" t="s">
        <v>56</v>
      </c>
      <c r="D8" s="148" t="s">
        <v>69</v>
      </c>
      <c r="E8" s="148">
        <v>1819000</v>
      </c>
      <c r="F8" s="145" t="s">
        <v>276</v>
      </c>
      <c r="G8" s="146" t="s">
        <v>50</v>
      </c>
      <c r="H8" s="229">
        <v>0.93</v>
      </c>
      <c r="I8" s="149" t="s">
        <v>277</v>
      </c>
      <c r="J8" s="190">
        <v>2270000</v>
      </c>
      <c r="K8" s="191">
        <v>1135000</v>
      </c>
      <c r="L8" s="192">
        <v>1135000</v>
      </c>
      <c r="M8" s="150">
        <v>0.5</v>
      </c>
      <c r="N8" s="191">
        <v>0</v>
      </c>
      <c r="O8" s="191">
        <v>0</v>
      </c>
      <c r="P8" s="192">
        <v>0</v>
      </c>
      <c r="Q8" s="192">
        <v>1135000</v>
      </c>
      <c r="R8" s="192">
        <v>0</v>
      </c>
      <c r="S8" s="192">
        <v>0</v>
      </c>
      <c r="T8" s="192">
        <v>0</v>
      </c>
      <c r="U8" s="192">
        <v>0</v>
      </c>
      <c r="V8" s="191">
        <v>0</v>
      </c>
      <c r="W8" s="190">
        <v>0</v>
      </c>
      <c r="X8" s="302" t="b">
        <f t="shared" si="0"/>
        <v>1</v>
      </c>
      <c r="Y8" s="303">
        <f t="shared" si="1"/>
        <v>0.5</v>
      </c>
      <c r="Z8" s="304" t="b">
        <f t="shared" si="2"/>
        <v>1</v>
      </c>
      <c r="AA8" s="304" t="b">
        <f t="shared" si="3"/>
        <v>1</v>
      </c>
      <c r="AB8" s="38"/>
    </row>
    <row r="9" spans="1:28" s="37" customFormat="1" ht="36">
      <c r="A9" s="146">
        <v>7</v>
      </c>
      <c r="B9" s="146" t="s">
        <v>278</v>
      </c>
      <c r="C9" s="147" t="s">
        <v>56</v>
      </c>
      <c r="D9" s="148" t="s">
        <v>69</v>
      </c>
      <c r="E9" s="148">
        <v>1819000</v>
      </c>
      <c r="F9" s="145" t="s">
        <v>279</v>
      </c>
      <c r="G9" s="146" t="s">
        <v>50</v>
      </c>
      <c r="H9" s="229">
        <v>0.92</v>
      </c>
      <c r="I9" s="149" t="s">
        <v>247</v>
      </c>
      <c r="J9" s="190">
        <v>2400000</v>
      </c>
      <c r="K9" s="191">
        <v>1200000</v>
      </c>
      <c r="L9" s="192">
        <v>1200000</v>
      </c>
      <c r="M9" s="150">
        <v>0.5</v>
      </c>
      <c r="N9" s="191">
        <v>0</v>
      </c>
      <c r="O9" s="191">
        <v>0</v>
      </c>
      <c r="P9" s="192">
        <v>0</v>
      </c>
      <c r="Q9" s="192">
        <v>1200000</v>
      </c>
      <c r="R9" s="192">
        <v>0</v>
      </c>
      <c r="S9" s="192">
        <v>0</v>
      </c>
      <c r="T9" s="192">
        <v>0</v>
      </c>
      <c r="U9" s="192">
        <v>0</v>
      </c>
      <c r="V9" s="191">
        <v>0</v>
      </c>
      <c r="W9" s="190">
        <v>0</v>
      </c>
      <c r="X9" s="302" t="b">
        <f t="shared" si="0"/>
        <v>1</v>
      </c>
      <c r="Y9" s="303">
        <f t="shared" si="1"/>
        <v>0.5</v>
      </c>
      <c r="Z9" s="304" t="b">
        <f t="shared" si="2"/>
        <v>1</v>
      </c>
      <c r="AA9" s="304" t="b">
        <f t="shared" si="3"/>
        <v>1</v>
      </c>
      <c r="AB9" s="38"/>
    </row>
    <row r="10" spans="1:28" s="261" customFormat="1" ht="28.5" customHeight="1">
      <c r="A10" s="146">
        <v>8</v>
      </c>
      <c r="B10" s="146" t="s">
        <v>280</v>
      </c>
      <c r="C10" s="147" t="s">
        <v>56</v>
      </c>
      <c r="D10" s="148" t="s">
        <v>70</v>
      </c>
      <c r="E10" s="148">
        <v>1809000</v>
      </c>
      <c r="F10" s="145" t="s">
        <v>281</v>
      </c>
      <c r="G10" s="146" t="s">
        <v>50</v>
      </c>
      <c r="H10" s="229">
        <v>0.7339</v>
      </c>
      <c r="I10" s="149" t="s">
        <v>219</v>
      </c>
      <c r="J10" s="190">
        <v>5673000</v>
      </c>
      <c r="K10" s="191">
        <v>2836500</v>
      </c>
      <c r="L10" s="192">
        <v>2836500</v>
      </c>
      <c r="M10" s="150">
        <v>0.5</v>
      </c>
      <c r="N10" s="191">
        <v>0</v>
      </c>
      <c r="O10" s="191">
        <v>0</v>
      </c>
      <c r="P10" s="192">
        <v>0</v>
      </c>
      <c r="Q10" s="192">
        <v>2836500</v>
      </c>
      <c r="R10" s="192">
        <v>0</v>
      </c>
      <c r="S10" s="192">
        <v>0</v>
      </c>
      <c r="T10" s="192">
        <v>0</v>
      </c>
      <c r="U10" s="192">
        <v>0</v>
      </c>
      <c r="V10" s="191">
        <v>0</v>
      </c>
      <c r="W10" s="190">
        <v>0</v>
      </c>
      <c r="X10" s="302" t="b">
        <f t="shared" si="0"/>
        <v>1</v>
      </c>
      <c r="Y10" s="303">
        <f t="shared" si="1"/>
        <v>0.5</v>
      </c>
      <c r="Z10" s="304" t="b">
        <f t="shared" si="2"/>
        <v>1</v>
      </c>
      <c r="AA10" s="304" t="b">
        <f t="shared" si="3"/>
        <v>1</v>
      </c>
      <c r="AB10" s="260"/>
    </row>
    <row r="11" spans="1:28" s="170" customFormat="1" ht="36">
      <c r="A11" s="156">
        <v>9</v>
      </c>
      <c r="B11" s="156" t="s">
        <v>282</v>
      </c>
      <c r="C11" s="157" t="s">
        <v>57</v>
      </c>
      <c r="D11" s="158" t="s">
        <v>66</v>
      </c>
      <c r="E11" s="158">
        <v>1801000</v>
      </c>
      <c r="F11" s="168" t="s">
        <v>283</v>
      </c>
      <c r="G11" s="156" t="s">
        <v>50</v>
      </c>
      <c r="H11" s="227">
        <v>2.421</v>
      </c>
      <c r="I11" s="159" t="s">
        <v>284</v>
      </c>
      <c r="J11" s="193">
        <v>3366477.49</v>
      </c>
      <c r="K11" s="194">
        <v>1683238</v>
      </c>
      <c r="L11" s="195">
        <v>1683239.4900000002</v>
      </c>
      <c r="M11" s="160">
        <v>0.5</v>
      </c>
      <c r="N11" s="194">
        <v>0</v>
      </c>
      <c r="O11" s="194">
        <v>0</v>
      </c>
      <c r="P11" s="195">
        <v>0</v>
      </c>
      <c r="Q11" s="195">
        <v>400000</v>
      </c>
      <c r="R11" s="195">
        <v>1283238</v>
      </c>
      <c r="S11" s="195">
        <v>0</v>
      </c>
      <c r="T11" s="195">
        <v>0</v>
      </c>
      <c r="U11" s="195">
        <v>0</v>
      </c>
      <c r="V11" s="194">
        <v>0</v>
      </c>
      <c r="W11" s="193">
        <v>0</v>
      </c>
      <c r="X11" s="302" t="b">
        <f t="shared" si="0"/>
        <v>1</v>
      </c>
      <c r="Y11" s="303">
        <f t="shared" si="1"/>
        <v>0.5</v>
      </c>
      <c r="Z11" s="304" t="b">
        <f t="shared" si="2"/>
        <v>1</v>
      </c>
      <c r="AA11" s="304" t="b">
        <f t="shared" si="3"/>
        <v>1</v>
      </c>
      <c r="AB11" s="169"/>
    </row>
    <row r="12" spans="1:28" s="37" customFormat="1" ht="36">
      <c r="A12" s="146">
        <v>10</v>
      </c>
      <c r="B12" s="146" t="s">
        <v>285</v>
      </c>
      <c r="C12" s="147" t="s">
        <v>56</v>
      </c>
      <c r="D12" s="148" t="s">
        <v>121</v>
      </c>
      <c r="E12" s="148">
        <v>1816000</v>
      </c>
      <c r="F12" s="145" t="s">
        <v>286</v>
      </c>
      <c r="G12" s="146" t="s">
        <v>71</v>
      </c>
      <c r="H12" s="229">
        <v>0.16</v>
      </c>
      <c r="I12" s="149" t="s">
        <v>209</v>
      </c>
      <c r="J12" s="190">
        <v>2500000</v>
      </c>
      <c r="K12" s="191">
        <v>1500000</v>
      </c>
      <c r="L12" s="192">
        <v>1000000</v>
      </c>
      <c r="M12" s="150">
        <v>0.6</v>
      </c>
      <c r="N12" s="191">
        <v>0</v>
      </c>
      <c r="O12" s="191">
        <v>0</v>
      </c>
      <c r="P12" s="192">
        <v>0</v>
      </c>
      <c r="Q12" s="192">
        <v>1500000</v>
      </c>
      <c r="R12" s="192">
        <v>0</v>
      </c>
      <c r="S12" s="192">
        <v>0</v>
      </c>
      <c r="T12" s="192">
        <v>0</v>
      </c>
      <c r="U12" s="192">
        <v>0</v>
      </c>
      <c r="V12" s="191">
        <v>0</v>
      </c>
      <c r="W12" s="190">
        <v>0</v>
      </c>
      <c r="X12" s="302" t="b">
        <f t="shared" si="0"/>
        <v>1</v>
      </c>
      <c r="Y12" s="303">
        <f t="shared" si="1"/>
        <v>0.6</v>
      </c>
      <c r="Z12" s="304" t="b">
        <f t="shared" si="2"/>
        <v>1</v>
      </c>
      <c r="AA12" s="304" t="b">
        <f t="shared" si="3"/>
        <v>1</v>
      </c>
      <c r="AB12" s="38"/>
    </row>
    <row r="13" spans="1:28" s="37" customFormat="1" ht="24">
      <c r="A13" s="146">
        <v>11</v>
      </c>
      <c r="B13" s="146" t="s">
        <v>287</v>
      </c>
      <c r="C13" s="147" t="s">
        <v>56</v>
      </c>
      <c r="D13" s="148" t="s">
        <v>63</v>
      </c>
      <c r="E13" s="148">
        <v>1810000</v>
      </c>
      <c r="F13" s="145" t="s">
        <v>288</v>
      </c>
      <c r="G13" s="146" t="s">
        <v>50</v>
      </c>
      <c r="H13" s="229">
        <v>7.270700000000001</v>
      </c>
      <c r="I13" s="149" t="s">
        <v>209</v>
      </c>
      <c r="J13" s="190">
        <v>17243306.87</v>
      </c>
      <c r="K13" s="191">
        <v>8621653</v>
      </c>
      <c r="L13" s="192">
        <v>8621653.870000001</v>
      </c>
      <c r="M13" s="150">
        <v>0.5</v>
      </c>
      <c r="N13" s="191">
        <v>0</v>
      </c>
      <c r="O13" s="191">
        <v>0</v>
      </c>
      <c r="P13" s="192">
        <v>0</v>
      </c>
      <c r="Q13" s="192">
        <v>8621653</v>
      </c>
      <c r="R13" s="192">
        <v>0</v>
      </c>
      <c r="S13" s="192">
        <v>0</v>
      </c>
      <c r="T13" s="192">
        <v>0</v>
      </c>
      <c r="U13" s="192">
        <v>0</v>
      </c>
      <c r="V13" s="191">
        <v>0</v>
      </c>
      <c r="W13" s="190">
        <v>0</v>
      </c>
      <c r="X13" s="302" t="b">
        <f t="shared" si="0"/>
        <v>1</v>
      </c>
      <c r="Y13" s="303">
        <f t="shared" si="1"/>
        <v>0.5</v>
      </c>
      <c r="Z13" s="304" t="b">
        <f t="shared" si="2"/>
        <v>1</v>
      </c>
      <c r="AA13" s="304" t="b">
        <f t="shared" si="3"/>
        <v>1</v>
      </c>
      <c r="AB13" s="38"/>
    </row>
    <row r="14" spans="1:28" s="37" customFormat="1" ht="24">
      <c r="A14" s="146">
        <v>12</v>
      </c>
      <c r="B14" s="146" t="s">
        <v>289</v>
      </c>
      <c r="C14" s="147" t="s">
        <v>56</v>
      </c>
      <c r="D14" s="148" t="s">
        <v>63</v>
      </c>
      <c r="E14" s="148">
        <v>1810000</v>
      </c>
      <c r="F14" s="145" t="s">
        <v>290</v>
      </c>
      <c r="G14" s="146" t="s">
        <v>50</v>
      </c>
      <c r="H14" s="229">
        <v>4.9612</v>
      </c>
      <c r="I14" s="149" t="s">
        <v>209</v>
      </c>
      <c r="J14" s="190">
        <v>9021372.63</v>
      </c>
      <c r="K14" s="191">
        <v>4510686</v>
      </c>
      <c r="L14" s="192">
        <v>4510686.630000001</v>
      </c>
      <c r="M14" s="150">
        <v>0.5</v>
      </c>
      <c r="N14" s="191">
        <v>0</v>
      </c>
      <c r="O14" s="191">
        <v>0</v>
      </c>
      <c r="P14" s="192">
        <v>0</v>
      </c>
      <c r="Q14" s="192">
        <v>4510686</v>
      </c>
      <c r="R14" s="192">
        <v>0</v>
      </c>
      <c r="S14" s="192">
        <v>0</v>
      </c>
      <c r="T14" s="192">
        <v>0</v>
      </c>
      <c r="U14" s="192">
        <v>0</v>
      </c>
      <c r="V14" s="191">
        <v>0</v>
      </c>
      <c r="W14" s="190">
        <v>0</v>
      </c>
      <c r="X14" s="302" t="b">
        <f t="shared" si="0"/>
        <v>1</v>
      </c>
      <c r="Y14" s="303">
        <f t="shared" si="1"/>
        <v>0.5</v>
      </c>
      <c r="Z14" s="304" t="b">
        <f t="shared" si="2"/>
        <v>1</v>
      </c>
      <c r="AA14" s="304" t="b">
        <f t="shared" si="3"/>
        <v>1</v>
      </c>
      <c r="AB14" s="38"/>
    </row>
    <row r="15" spans="1:28" s="37" customFormat="1" ht="36">
      <c r="A15" s="146">
        <v>13</v>
      </c>
      <c r="B15" s="146" t="s">
        <v>291</v>
      </c>
      <c r="C15" s="147" t="s">
        <v>56</v>
      </c>
      <c r="D15" s="148" t="s">
        <v>62</v>
      </c>
      <c r="E15" s="148">
        <v>1804000</v>
      </c>
      <c r="F15" s="145" t="s">
        <v>292</v>
      </c>
      <c r="G15" s="146" t="s">
        <v>51</v>
      </c>
      <c r="H15" s="229">
        <v>1.222</v>
      </c>
      <c r="I15" s="149" t="s">
        <v>293</v>
      </c>
      <c r="J15" s="190">
        <v>11881759.74</v>
      </c>
      <c r="K15" s="191">
        <v>5940879</v>
      </c>
      <c r="L15" s="192">
        <v>5940880.74</v>
      </c>
      <c r="M15" s="150">
        <v>0.5</v>
      </c>
      <c r="N15" s="191">
        <v>0</v>
      </c>
      <c r="O15" s="191">
        <v>0</v>
      </c>
      <c r="P15" s="192">
        <v>0</v>
      </c>
      <c r="Q15" s="192">
        <v>5940879</v>
      </c>
      <c r="R15" s="192">
        <v>0</v>
      </c>
      <c r="S15" s="192">
        <v>0</v>
      </c>
      <c r="T15" s="192">
        <v>0</v>
      </c>
      <c r="U15" s="192">
        <v>0</v>
      </c>
      <c r="V15" s="191">
        <v>0</v>
      </c>
      <c r="W15" s="190">
        <v>0</v>
      </c>
      <c r="X15" s="302" t="b">
        <f t="shared" si="0"/>
        <v>1</v>
      </c>
      <c r="Y15" s="303">
        <f t="shared" si="1"/>
        <v>0.5</v>
      </c>
      <c r="Z15" s="304" t="b">
        <f t="shared" si="2"/>
        <v>1</v>
      </c>
      <c r="AA15" s="304" t="b">
        <f t="shared" si="3"/>
        <v>1</v>
      </c>
      <c r="AB15" s="38"/>
    </row>
    <row r="16" spans="1:28" s="37" customFormat="1" ht="72">
      <c r="A16" s="146">
        <v>14</v>
      </c>
      <c r="B16" s="146" t="s">
        <v>294</v>
      </c>
      <c r="C16" s="147" t="s">
        <v>56</v>
      </c>
      <c r="D16" s="148" t="s">
        <v>61</v>
      </c>
      <c r="E16" s="148">
        <v>1807000</v>
      </c>
      <c r="F16" s="145" t="s">
        <v>295</v>
      </c>
      <c r="G16" s="146" t="s">
        <v>50</v>
      </c>
      <c r="H16" s="229">
        <v>0.368</v>
      </c>
      <c r="I16" s="149" t="s">
        <v>219</v>
      </c>
      <c r="J16" s="190">
        <v>5442880.08</v>
      </c>
      <c r="K16" s="191">
        <v>3265728</v>
      </c>
      <c r="L16" s="192">
        <v>2177152.08</v>
      </c>
      <c r="M16" s="150">
        <v>0.6</v>
      </c>
      <c r="N16" s="191">
        <v>0</v>
      </c>
      <c r="O16" s="191">
        <v>0</v>
      </c>
      <c r="P16" s="192">
        <v>0</v>
      </c>
      <c r="Q16" s="192">
        <v>3265728</v>
      </c>
      <c r="R16" s="192">
        <v>0</v>
      </c>
      <c r="S16" s="192">
        <v>0</v>
      </c>
      <c r="T16" s="192">
        <v>0</v>
      </c>
      <c r="U16" s="192">
        <v>0</v>
      </c>
      <c r="V16" s="191">
        <v>0</v>
      </c>
      <c r="W16" s="190">
        <v>0</v>
      </c>
      <c r="X16" s="302" t="b">
        <f t="shared" si="0"/>
        <v>1</v>
      </c>
      <c r="Y16" s="303">
        <f t="shared" si="1"/>
        <v>0.6</v>
      </c>
      <c r="Z16" s="304" t="b">
        <f t="shared" si="2"/>
        <v>1</v>
      </c>
      <c r="AA16" s="304" t="b">
        <f t="shared" si="3"/>
        <v>1</v>
      </c>
      <c r="AB16" s="38"/>
    </row>
    <row r="17" spans="1:28" s="37" customFormat="1" ht="24">
      <c r="A17" s="146">
        <v>15</v>
      </c>
      <c r="B17" s="146" t="s">
        <v>296</v>
      </c>
      <c r="C17" s="147" t="s">
        <v>56</v>
      </c>
      <c r="D17" s="148" t="s">
        <v>60</v>
      </c>
      <c r="E17" s="148">
        <v>1805000</v>
      </c>
      <c r="F17" s="145" t="s">
        <v>297</v>
      </c>
      <c r="G17" s="146" t="s">
        <v>50</v>
      </c>
      <c r="H17" s="229">
        <v>0.998</v>
      </c>
      <c r="I17" s="149" t="s">
        <v>250</v>
      </c>
      <c r="J17" s="190">
        <v>2148643.68</v>
      </c>
      <c r="K17" s="191">
        <v>1289186</v>
      </c>
      <c r="L17" s="192">
        <v>859457.6800000002</v>
      </c>
      <c r="M17" s="150">
        <v>0.6</v>
      </c>
      <c r="N17" s="191">
        <v>0</v>
      </c>
      <c r="O17" s="191">
        <v>0</v>
      </c>
      <c r="P17" s="192">
        <v>0</v>
      </c>
      <c r="Q17" s="192">
        <v>1289186</v>
      </c>
      <c r="R17" s="192">
        <v>0</v>
      </c>
      <c r="S17" s="192">
        <v>0</v>
      </c>
      <c r="T17" s="192">
        <v>0</v>
      </c>
      <c r="U17" s="192">
        <v>0</v>
      </c>
      <c r="V17" s="191">
        <v>0</v>
      </c>
      <c r="W17" s="190">
        <v>0</v>
      </c>
      <c r="X17" s="302" t="b">
        <f t="shared" si="0"/>
        <v>1</v>
      </c>
      <c r="Y17" s="303">
        <f t="shared" si="1"/>
        <v>0.6</v>
      </c>
      <c r="Z17" s="304" t="b">
        <f t="shared" si="2"/>
        <v>1</v>
      </c>
      <c r="AA17" s="304" t="b">
        <f t="shared" si="3"/>
        <v>1</v>
      </c>
      <c r="AB17" s="38"/>
    </row>
    <row r="18" spans="1:28" s="37" customFormat="1" ht="36">
      <c r="A18" s="146">
        <v>16</v>
      </c>
      <c r="B18" s="146" t="s">
        <v>298</v>
      </c>
      <c r="C18" s="147" t="s">
        <v>56</v>
      </c>
      <c r="D18" s="148" t="s">
        <v>98</v>
      </c>
      <c r="E18" s="148">
        <v>1811000</v>
      </c>
      <c r="F18" s="145" t="s">
        <v>299</v>
      </c>
      <c r="G18" s="146" t="s">
        <v>50</v>
      </c>
      <c r="H18" s="229">
        <v>0.85065</v>
      </c>
      <c r="I18" s="149" t="s">
        <v>300</v>
      </c>
      <c r="J18" s="190">
        <v>2095086.68</v>
      </c>
      <c r="K18" s="191">
        <v>1257052</v>
      </c>
      <c r="L18" s="192">
        <v>838034.6799999999</v>
      </c>
      <c r="M18" s="150">
        <v>0.6</v>
      </c>
      <c r="N18" s="191">
        <v>0</v>
      </c>
      <c r="O18" s="191">
        <v>0</v>
      </c>
      <c r="P18" s="192">
        <v>0</v>
      </c>
      <c r="Q18" s="192">
        <v>1257052</v>
      </c>
      <c r="R18" s="192">
        <v>0</v>
      </c>
      <c r="S18" s="192">
        <v>0</v>
      </c>
      <c r="T18" s="192">
        <v>0</v>
      </c>
      <c r="U18" s="192">
        <v>0</v>
      </c>
      <c r="V18" s="191">
        <v>0</v>
      </c>
      <c r="W18" s="190">
        <v>0</v>
      </c>
      <c r="X18" s="302" t="b">
        <f t="shared" si="0"/>
        <v>1</v>
      </c>
      <c r="Y18" s="303">
        <f t="shared" si="1"/>
        <v>0.6</v>
      </c>
      <c r="Z18" s="304" t="b">
        <f t="shared" si="2"/>
        <v>1</v>
      </c>
      <c r="AA18" s="304" t="b">
        <f t="shared" si="3"/>
        <v>1</v>
      </c>
      <c r="AB18" s="38"/>
    </row>
    <row r="19" spans="1:28" s="170" customFormat="1" ht="36">
      <c r="A19" s="156">
        <v>17</v>
      </c>
      <c r="B19" s="156" t="s">
        <v>301</v>
      </c>
      <c r="C19" s="157" t="s">
        <v>57</v>
      </c>
      <c r="D19" s="158" t="s">
        <v>49</v>
      </c>
      <c r="E19" s="158">
        <v>1817000</v>
      </c>
      <c r="F19" s="168" t="s">
        <v>302</v>
      </c>
      <c r="G19" s="156" t="s">
        <v>50</v>
      </c>
      <c r="H19" s="227">
        <v>0.705</v>
      </c>
      <c r="I19" s="159" t="s">
        <v>303</v>
      </c>
      <c r="J19" s="193">
        <v>5243050.42</v>
      </c>
      <c r="K19" s="194">
        <v>3145830</v>
      </c>
      <c r="L19" s="195">
        <v>2097220.42</v>
      </c>
      <c r="M19" s="160">
        <v>0.6</v>
      </c>
      <c r="N19" s="194">
        <v>0</v>
      </c>
      <c r="O19" s="194">
        <v>0</v>
      </c>
      <c r="P19" s="195">
        <v>0</v>
      </c>
      <c r="Q19" s="195">
        <v>1572915</v>
      </c>
      <c r="R19" s="195">
        <v>0</v>
      </c>
      <c r="S19" s="195">
        <v>1572915</v>
      </c>
      <c r="T19" s="195">
        <v>0</v>
      </c>
      <c r="U19" s="195">
        <v>0</v>
      </c>
      <c r="V19" s="194">
        <v>0</v>
      </c>
      <c r="W19" s="193">
        <v>0</v>
      </c>
      <c r="X19" s="302" t="b">
        <f t="shared" si="0"/>
        <v>1</v>
      </c>
      <c r="Y19" s="303">
        <f t="shared" si="1"/>
        <v>0.6</v>
      </c>
      <c r="Z19" s="304" t="b">
        <f t="shared" si="2"/>
        <v>1</v>
      </c>
      <c r="AA19" s="304" t="b">
        <f t="shared" si="3"/>
        <v>1</v>
      </c>
      <c r="AB19" s="169"/>
    </row>
    <row r="20" spans="1:28" s="37" customFormat="1" ht="24">
      <c r="A20" s="146">
        <v>18</v>
      </c>
      <c r="B20" s="146" t="s">
        <v>304</v>
      </c>
      <c r="C20" s="147" t="s">
        <v>56</v>
      </c>
      <c r="D20" s="148" t="s">
        <v>67</v>
      </c>
      <c r="E20" s="148">
        <v>1802000</v>
      </c>
      <c r="F20" s="145" t="s">
        <v>305</v>
      </c>
      <c r="G20" s="146" t="s">
        <v>50</v>
      </c>
      <c r="H20" s="229">
        <v>1.537</v>
      </c>
      <c r="I20" s="149" t="s">
        <v>270</v>
      </c>
      <c r="J20" s="190">
        <v>1269542</v>
      </c>
      <c r="K20" s="191">
        <v>634771</v>
      </c>
      <c r="L20" s="192">
        <v>634771</v>
      </c>
      <c r="M20" s="150">
        <v>0.5</v>
      </c>
      <c r="N20" s="191">
        <v>0</v>
      </c>
      <c r="O20" s="191">
        <v>0</v>
      </c>
      <c r="P20" s="192">
        <v>0</v>
      </c>
      <c r="Q20" s="192">
        <v>634771</v>
      </c>
      <c r="R20" s="192">
        <v>0</v>
      </c>
      <c r="S20" s="192">
        <v>0</v>
      </c>
      <c r="T20" s="192">
        <v>0</v>
      </c>
      <c r="U20" s="192">
        <v>0</v>
      </c>
      <c r="V20" s="191">
        <v>0</v>
      </c>
      <c r="W20" s="190">
        <v>0</v>
      </c>
      <c r="X20" s="302" t="b">
        <f t="shared" si="0"/>
        <v>1</v>
      </c>
      <c r="Y20" s="303">
        <f t="shared" si="1"/>
        <v>0.5</v>
      </c>
      <c r="Z20" s="304" t="b">
        <f t="shared" si="2"/>
        <v>1</v>
      </c>
      <c r="AA20" s="304" t="b">
        <f t="shared" si="3"/>
        <v>1</v>
      </c>
      <c r="AB20" s="38"/>
    </row>
    <row r="21" spans="1:28" s="219" customFormat="1" ht="36">
      <c r="A21" s="204" t="s">
        <v>636</v>
      </c>
      <c r="B21" s="204" t="s">
        <v>306</v>
      </c>
      <c r="C21" s="205" t="s">
        <v>56</v>
      </c>
      <c r="D21" s="206" t="s">
        <v>121</v>
      </c>
      <c r="E21" s="206">
        <v>1816000</v>
      </c>
      <c r="F21" s="214" t="s">
        <v>307</v>
      </c>
      <c r="G21" s="204" t="s">
        <v>71</v>
      </c>
      <c r="H21" s="228">
        <v>6.24</v>
      </c>
      <c r="I21" s="208" t="s">
        <v>209</v>
      </c>
      <c r="J21" s="215">
        <v>10000000</v>
      </c>
      <c r="K21" s="216">
        <v>5862735.63</v>
      </c>
      <c r="L21" s="217">
        <v>4137264.37</v>
      </c>
      <c r="M21" s="209">
        <v>0.6</v>
      </c>
      <c r="N21" s="216">
        <v>0</v>
      </c>
      <c r="O21" s="216">
        <v>0</v>
      </c>
      <c r="P21" s="217">
        <v>0</v>
      </c>
      <c r="Q21" s="217">
        <v>5862735.63</v>
      </c>
      <c r="R21" s="217">
        <v>0</v>
      </c>
      <c r="S21" s="217">
        <v>0</v>
      </c>
      <c r="T21" s="217">
        <v>0</v>
      </c>
      <c r="U21" s="217">
        <v>0</v>
      </c>
      <c r="V21" s="216">
        <v>0</v>
      </c>
      <c r="W21" s="215">
        <v>0</v>
      </c>
      <c r="X21" s="302" t="b">
        <f t="shared" si="0"/>
        <v>1</v>
      </c>
      <c r="Y21" s="303">
        <f t="shared" si="1"/>
        <v>0.5863</v>
      </c>
      <c r="Z21" s="304" t="b">
        <f t="shared" si="2"/>
        <v>0</v>
      </c>
      <c r="AA21" s="304" t="b">
        <f t="shared" si="3"/>
        <v>1</v>
      </c>
      <c r="AB21" s="218"/>
    </row>
    <row r="22" spans="1:28" ht="19.5" customHeight="1">
      <c r="A22" s="372" t="s">
        <v>46</v>
      </c>
      <c r="B22" s="372"/>
      <c r="C22" s="372"/>
      <c r="D22" s="372"/>
      <c r="E22" s="372"/>
      <c r="F22" s="372"/>
      <c r="G22" s="372"/>
      <c r="H22" s="279">
        <f>SUM(H3:H21)</f>
        <v>43.15681</v>
      </c>
      <c r="I22" s="280" t="s">
        <v>14</v>
      </c>
      <c r="J22" s="42">
        <f>SUM(J3:J21)</f>
        <v>116079808.09000002</v>
      </c>
      <c r="K22" s="42">
        <f>SUM(K3:K21)</f>
        <v>62912132.63</v>
      </c>
      <c r="L22" s="42">
        <f>SUM(L3:L21)</f>
        <v>53167675.46</v>
      </c>
      <c r="M22" s="281" t="s">
        <v>14</v>
      </c>
      <c r="N22" s="320">
        <f aca="true" t="shared" si="4" ref="N22:W22">SUM(N3:N21)</f>
        <v>0</v>
      </c>
      <c r="O22" s="320">
        <f t="shared" si="4"/>
        <v>0</v>
      </c>
      <c r="P22" s="320">
        <f t="shared" si="4"/>
        <v>0</v>
      </c>
      <c r="Q22" s="320">
        <f t="shared" si="4"/>
        <v>50416412.63</v>
      </c>
      <c r="R22" s="320">
        <f t="shared" si="4"/>
        <v>10922805</v>
      </c>
      <c r="S22" s="320">
        <f t="shared" si="4"/>
        <v>1572915</v>
      </c>
      <c r="T22" s="320">
        <f t="shared" si="4"/>
        <v>0</v>
      </c>
      <c r="U22" s="320">
        <f t="shared" si="4"/>
        <v>0</v>
      </c>
      <c r="V22" s="320">
        <f t="shared" si="4"/>
        <v>0</v>
      </c>
      <c r="W22" s="320">
        <f t="shared" si="4"/>
        <v>0</v>
      </c>
      <c r="X22" s="302"/>
      <c r="Y22" s="303"/>
      <c r="Z22" s="304"/>
      <c r="AA22" s="304"/>
      <c r="AB22" s="33"/>
    </row>
    <row r="23" spans="1:28" ht="19.5" customHeight="1">
      <c r="A23" s="372" t="s">
        <v>40</v>
      </c>
      <c r="B23" s="372"/>
      <c r="C23" s="372"/>
      <c r="D23" s="372"/>
      <c r="E23" s="372"/>
      <c r="F23" s="372"/>
      <c r="G23" s="372"/>
      <c r="H23" s="279">
        <f>SUMIF($C$3:$C$21,"N",H3:H21)</f>
        <v>28.757450000000006</v>
      </c>
      <c r="I23" s="280" t="s">
        <v>14</v>
      </c>
      <c r="J23" s="42">
        <f>SUMIF($C$3:$C$21,"N",J3:J21)</f>
        <v>75925483.13</v>
      </c>
      <c r="K23" s="42">
        <f>SUMIF($C$3:$C$21,"N",K3:K21)</f>
        <v>40442124.63</v>
      </c>
      <c r="L23" s="42">
        <f>SUMIF($C$3:$C$21,"N",L3:L21)</f>
        <v>35483358.5</v>
      </c>
      <c r="M23" s="281" t="s">
        <v>14</v>
      </c>
      <c r="N23" s="320">
        <f aca="true" t="shared" si="5" ref="N23:W23">SUMIF($C$3:$C$21,"N",N3:N21)</f>
        <v>0</v>
      </c>
      <c r="O23" s="320">
        <f t="shared" si="5"/>
        <v>0</v>
      </c>
      <c r="P23" s="320">
        <f t="shared" si="5"/>
        <v>0</v>
      </c>
      <c r="Q23" s="320">
        <f t="shared" si="5"/>
        <v>40442124.63</v>
      </c>
      <c r="R23" s="320">
        <f t="shared" si="5"/>
        <v>0</v>
      </c>
      <c r="S23" s="320">
        <f t="shared" si="5"/>
        <v>0</v>
      </c>
      <c r="T23" s="320">
        <f t="shared" si="5"/>
        <v>0</v>
      </c>
      <c r="U23" s="320">
        <f t="shared" si="5"/>
        <v>0</v>
      </c>
      <c r="V23" s="320">
        <f t="shared" si="5"/>
        <v>0</v>
      </c>
      <c r="W23" s="320">
        <f t="shared" si="5"/>
        <v>0</v>
      </c>
      <c r="X23" s="302"/>
      <c r="Y23" s="303"/>
      <c r="Z23" s="304"/>
      <c r="AA23" s="304"/>
      <c r="AB23" s="33"/>
    </row>
    <row r="24" spans="1:28" ht="19.5" customHeight="1">
      <c r="A24" s="373" t="s">
        <v>41</v>
      </c>
      <c r="B24" s="373"/>
      <c r="C24" s="373"/>
      <c r="D24" s="373"/>
      <c r="E24" s="373"/>
      <c r="F24" s="373"/>
      <c r="G24" s="373"/>
      <c r="H24" s="282">
        <f>SUMIF($C$3:$C$21,"W",H3:H21)</f>
        <v>14.39936</v>
      </c>
      <c r="I24" s="283" t="s">
        <v>14</v>
      </c>
      <c r="J24" s="43">
        <f>SUMIF($C$3:$C$21,"W",J3:J21)</f>
        <v>40154324.96000001</v>
      </c>
      <c r="K24" s="43">
        <f>SUMIF($C$3:$C$21,"W",K3:K21)</f>
        <v>22470008</v>
      </c>
      <c r="L24" s="43">
        <f>SUMIF($C$3:$C$21,"W",L3:L21)</f>
        <v>17684316.96</v>
      </c>
      <c r="M24" s="284" t="s">
        <v>14</v>
      </c>
      <c r="N24" s="321">
        <f aca="true" t="shared" si="6" ref="N24:W24">SUMIF($C$3:$C$21,"W",N3:N21)</f>
        <v>0</v>
      </c>
      <c r="O24" s="321">
        <f t="shared" si="6"/>
        <v>0</v>
      </c>
      <c r="P24" s="321">
        <f t="shared" si="6"/>
        <v>0</v>
      </c>
      <c r="Q24" s="321">
        <f t="shared" si="6"/>
        <v>9974288</v>
      </c>
      <c r="R24" s="321">
        <f t="shared" si="6"/>
        <v>10922805</v>
      </c>
      <c r="S24" s="321">
        <f t="shared" si="6"/>
        <v>1572915</v>
      </c>
      <c r="T24" s="321">
        <f t="shared" si="6"/>
        <v>0</v>
      </c>
      <c r="U24" s="321">
        <f t="shared" si="6"/>
        <v>0</v>
      </c>
      <c r="V24" s="321">
        <f t="shared" si="6"/>
        <v>0</v>
      </c>
      <c r="W24" s="321">
        <f t="shared" si="6"/>
        <v>0</v>
      </c>
      <c r="X24" s="302"/>
      <c r="Y24" s="303"/>
      <c r="Z24" s="304"/>
      <c r="AA24" s="304"/>
      <c r="AB24" s="33"/>
    </row>
    <row r="25" ht="15">
      <c r="A25" s="242"/>
    </row>
    <row r="26" ht="15">
      <c r="A26" s="255" t="s">
        <v>25</v>
      </c>
    </row>
    <row r="27" ht="15">
      <c r="A27" s="256" t="s">
        <v>26</v>
      </c>
    </row>
    <row r="28" ht="15">
      <c r="A28" s="257" t="s">
        <v>29</v>
      </c>
    </row>
    <row r="29" ht="15">
      <c r="A29" s="255" t="s">
        <v>37</v>
      </c>
    </row>
    <row r="30" ht="15">
      <c r="A30" s="243"/>
    </row>
    <row r="32" ht="15">
      <c r="Q32" s="33"/>
    </row>
    <row r="33" ht="15">
      <c r="Q33" s="33"/>
    </row>
    <row r="34" ht="15">
      <c r="K34" s="33"/>
    </row>
    <row r="35" spans="16:19" ht="15">
      <c r="P35" s="177"/>
      <c r="Q35" s="1"/>
      <c r="R35" s="1"/>
      <c r="S35" s="177"/>
    </row>
    <row r="36" spans="16:19" ht="15">
      <c r="P36" s="178"/>
      <c r="Q36" s="179"/>
      <c r="R36" s="180"/>
      <c r="S36" s="178"/>
    </row>
    <row r="37" spans="16:19" ht="15">
      <c r="P37" s="177"/>
      <c r="Q37" s="181"/>
      <c r="R37" s="1"/>
      <c r="S37" s="177"/>
    </row>
    <row r="38" ht="15">
      <c r="P38" s="33"/>
    </row>
    <row r="39" ht="15">
      <c r="P39" s="33"/>
    </row>
    <row r="40" ht="15">
      <c r="P40" s="33"/>
    </row>
    <row r="41" ht="15">
      <c r="S41" s="33"/>
    </row>
    <row r="45" spans="1:27" s="33" customFormat="1" ht="15">
      <c r="A45" s="177"/>
      <c r="H45" s="177"/>
      <c r="J45" s="196"/>
      <c r="M45" s="177"/>
      <c r="X45" s="241"/>
      <c r="Y45" s="241"/>
      <c r="Z45" s="241"/>
      <c r="AA45" s="241"/>
    </row>
    <row r="50" ht="15">
      <c r="Q50" s="33"/>
    </row>
    <row r="52" ht="15">
      <c r="Q52" s="33"/>
    </row>
  </sheetData>
  <sheetProtection/>
  <mergeCells count="17">
    <mergeCell ref="A24:G24"/>
    <mergeCell ref="I1:I2"/>
    <mergeCell ref="A1:A2"/>
    <mergeCell ref="B1:B2"/>
    <mergeCell ref="C1:C2"/>
    <mergeCell ref="F1:F2"/>
    <mergeCell ref="G1:G2"/>
    <mergeCell ref="H1:H2"/>
    <mergeCell ref="D1:D2"/>
    <mergeCell ref="A22:G22"/>
    <mergeCell ref="N1:W1"/>
    <mergeCell ref="E1:E2"/>
    <mergeCell ref="A23:G23"/>
    <mergeCell ref="J1:J2"/>
    <mergeCell ref="K1:K2"/>
    <mergeCell ref="L1:L2"/>
    <mergeCell ref="M1:M2"/>
  </mergeCells>
  <conditionalFormatting sqref="AA24 X3:AB3 AB5:AB21 X4:AA21">
    <cfRule type="cellIs" priority="20" dxfId="33" operator="equal">
      <formula>FALSE</formula>
    </cfRule>
  </conditionalFormatting>
  <conditionalFormatting sqref="AB24">
    <cfRule type="cellIs" priority="25" dxfId="33" operator="equal">
      <formula>FALSE</formula>
    </cfRule>
  </conditionalFormatting>
  <conditionalFormatting sqref="AB24">
    <cfRule type="cellIs" priority="24" dxfId="33" operator="equal">
      <formula>FALSE</formula>
    </cfRule>
  </conditionalFormatting>
  <conditionalFormatting sqref="Y24:Z24">
    <cfRule type="cellIs" priority="23" dxfId="33" operator="equal">
      <formula>FALSE</formula>
    </cfRule>
  </conditionalFormatting>
  <conditionalFormatting sqref="X24">
    <cfRule type="cellIs" priority="22" dxfId="33" operator="equal">
      <formula>FALSE</formula>
    </cfRule>
  </conditionalFormatting>
  <conditionalFormatting sqref="X24:Z24 X3:Z21">
    <cfRule type="containsText" priority="21" dxfId="33" operator="containsText" text="fałsz">
      <formula>NOT(ISERROR(SEARCH("fałsz",X3)))</formula>
    </cfRule>
  </conditionalFormatting>
  <conditionalFormatting sqref="AA24">
    <cfRule type="cellIs" priority="19" dxfId="33" operator="equal">
      <formula>FALSE</formula>
    </cfRule>
  </conditionalFormatting>
  <conditionalFormatting sqref="AB22:AB23">
    <cfRule type="cellIs" priority="18" dxfId="33" operator="equal">
      <formula>FALSE</formula>
    </cfRule>
  </conditionalFormatting>
  <conditionalFormatting sqref="AB22:AB23">
    <cfRule type="cellIs" priority="17" dxfId="33" operator="equal">
      <formula>FALSE</formula>
    </cfRule>
  </conditionalFormatting>
  <conditionalFormatting sqref="Y22:Z22">
    <cfRule type="cellIs" priority="16" dxfId="33" operator="equal">
      <formula>FALSE</formula>
    </cfRule>
  </conditionalFormatting>
  <conditionalFormatting sqref="X22">
    <cfRule type="cellIs" priority="15" dxfId="33" operator="equal">
      <formula>FALSE</formula>
    </cfRule>
  </conditionalFormatting>
  <conditionalFormatting sqref="X22:Z22">
    <cfRule type="containsText" priority="14" dxfId="33" operator="containsText" text="fałsz">
      <formula>NOT(ISERROR(SEARCH("fałsz",X22)))</formula>
    </cfRule>
  </conditionalFormatting>
  <conditionalFormatting sqref="AA22">
    <cfRule type="cellIs" priority="13" dxfId="33" operator="equal">
      <formula>FALSE</formula>
    </cfRule>
  </conditionalFormatting>
  <conditionalFormatting sqref="AA22">
    <cfRule type="cellIs" priority="12" dxfId="33" operator="equal">
      <formula>FALSE</formula>
    </cfRule>
  </conditionalFormatting>
  <conditionalFormatting sqref="Y23:Z23">
    <cfRule type="cellIs" priority="11" dxfId="33" operator="equal">
      <formula>FALSE</formula>
    </cfRule>
  </conditionalFormatting>
  <conditionalFormatting sqref="X23">
    <cfRule type="cellIs" priority="10" dxfId="33" operator="equal">
      <formula>FALSE</formula>
    </cfRule>
  </conditionalFormatting>
  <conditionalFormatting sqref="X23:Z23">
    <cfRule type="containsText" priority="9" dxfId="33" operator="containsText" text="fałsz">
      <formula>NOT(ISERROR(SEARCH("fałsz",X23)))</formula>
    </cfRule>
  </conditionalFormatting>
  <conditionalFormatting sqref="AA23">
    <cfRule type="cellIs" priority="8" dxfId="33" operator="equal">
      <formula>FALSE</formula>
    </cfRule>
  </conditionalFormatting>
  <conditionalFormatting sqref="AA23">
    <cfRule type="cellIs" priority="7" dxfId="33" operator="equal">
      <formula>FALSE</formula>
    </cfRule>
  </conditionalFormatting>
  <conditionalFormatting sqref="AB4">
    <cfRule type="cellIs" priority="3" dxfId="33" operator="equal">
      <formula>FALSE</formula>
    </cfRule>
  </conditionalFormatting>
  <dataValidations count="2">
    <dataValidation type="list" allowBlank="1" showInputMessage="1" showErrorMessage="1" sqref="C3:C21">
      <formula1>"N,W"</formula1>
    </dataValidation>
    <dataValidation type="list" allowBlank="1" showInputMessage="1" showErrorMessage="1" sqref="G3:G21">
      <formula1>"B,P,R"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1" r:id="rId3"/>
  <headerFooter>
    <oddHeader>&amp;LWojewództwo p&amp;K000000odkarpackie&amp;K01+000 - zadania powiatowe lista rezerwowa</oddHeader>
    <oddFooter>&amp;CStrona &amp;P z &amp;N</oddFooter>
  </headerFooter>
  <ignoredErrors>
    <ignoredError sqref="B21 B5 B6:B20" twoDigitTextYea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showGridLines="0" tabSelected="1" view="pageBreakPreview" zoomScale="110" zoomScaleNormal="78" zoomScaleSheetLayoutView="110" zoomScalePageLayoutView="0" workbookViewId="0" topLeftCell="A1">
      <selection activeCell="C7" sqref="C7"/>
    </sheetView>
  </sheetViews>
  <sheetFormatPr defaultColWidth="9.140625" defaultRowHeight="15"/>
  <cols>
    <col min="1" max="1" width="9.00390625" style="171" customWidth="1"/>
    <col min="2" max="2" width="15.7109375" style="1" customWidth="1"/>
    <col min="3" max="3" width="18.57421875" style="1" customWidth="1"/>
    <col min="4" max="6" width="15.7109375" style="1" customWidth="1"/>
    <col min="7" max="7" width="51.8515625" style="13" customWidth="1"/>
    <col min="8" max="10" width="15.7109375" style="1" customWidth="1"/>
    <col min="11" max="11" width="15.7109375" style="34" customWidth="1"/>
    <col min="12" max="12" width="18.28125" style="13" customWidth="1"/>
    <col min="13" max="13" width="15.7109375" style="13" customWidth="1"/>
    <col min="14" max="14" width="15.7109375" style="1" customWidth="1"/>
    <col min="15" max="16" width="15.7109375" style="13" customWidth="1"/>
    <col min="17" max="17" width="15.7109375" style="34" customWidth="1"/>
    <col min="18" max="24" width="15.7109375" style="13" customWidth="1"/>
    <col min="25" max="25" width="9.00390625" style="239" bestFit="1" customWidth="1"/>
    <col min="26" max="28" width="15.7109375" style="239" customWidth="1"/>
    <col min="29" max="29" width="14.8515625" style="13" customWidth="1"/>
    <col min="30" max="16384" width="9.140625" style="13" customWidth="1"/>
  </cols>
  <sheetData>
    <row r="1" spans="1:28" ht="15">
      <c r="A1" s="374" t="s">
        <v>4</v>
      </c>
      <c r="B1" s="363" t="s">
        <v>5</v>
      </c>
      <c r="C1" s="364" t="s">
        <v>47</v>
      </c>
      <c r="D1" s="360" t="s">
        <v>6</v>
      </c>
      <c r="E1" s="360" t="s">
        <v>34</v>
      </c>
      <c r="F1" s="360" t="s">
        <v>15</v>
      </c>
      <c r="G1" s="363" t="s">
        <v>7</v>
      </c>
      <c r="H1" s="363" t="s">
        <v>27</v>
      </c>
      <c r="I1" s="363" t="s">
        <v>8</v>
      </c>
      <c r="J1" s="363" t="s">
        <v>28</v>
      </c>
      <c r="K1" s="363" t="s">
        <v>9</v>
      </c>
      <c r="L1" s="363" t="s">
        <v>10</v>
      </c>
      <c r="M1" s="360" t="s">
        <v>13</v>
      </c>
      <c r="N1" s="363" t="s">
        <v>11</v>
      </c>
      <c r="O1" s="363" t="s">
        <v>12</v>
      </c>
      <c r="P1" s="363"/>
      <c r="Q1" s="363"/>
      <c r="R1" s="363"/>
      <c r="S1" s="363"/>
      <c r="T1" s="363"/>
      <c r="U1" s="363"/>
      <c r="V1" s="363"/>
      <c r="W1" s="363"/>
      <c r="X1" s="363"/>
      <c r="Y1" s="319"/>
      <c r="Z1" s="319"/>
      <c r="AA1" s="319"/>
      <c r="AB1" s="319"/>
    </row>
    <row r="2" spans="1:28" ht="22.5" customHeight="1">
      <c r="A2" s="374"/>
      <c r="B2" s="363"/>
      <c r="C2" s="365"/>
      <c r="D2" s="361"/>
      <c r="E2" s="361"/>
      <c r="F2" s="361"/>
      <c r="G2" s="363"/>
      <c r="H2" s="363"/>
      <c r="I2" s="363"/>
      <c r="J2" s="363"/>
      <c r="K2" s="363"/>
      <c r="L2" s="363"/>
      <c r="M2" s="361"/>
      <c r="N2" s="363"/>
      <c r="O2" s="272">
        <v>2019</v>
      </c>
      <c r="P2" s="272">
        <v>2020</v>
      </c>
      <c r="Q2" s="272">
        <v>2021</v>
      </c>
      <c r="R2" s="272">
        <v>2022</v>
      </c>
      <c r="S2" s="272">
        <v>2023</v>
      </c>
      <c r="T2" s="272">
        <v>2024</v>
      </c>
      <c r="U2" s="272">
        <v>2025</v>
      </c>
      <c r="V2" s="272">
        <v>2026</v>
      </c>
      <c r="W2" s="272">
        <v>2027</v>
      </c>
      <c r="X2" s="272">
        <v>2028</v>
      </c>
      <c r="Y2" s="302" t="s">
        <v>30</v>
      </c>
      <c r="Z2" s="302" t="s">
        <v>31</v>
      </c>
      <c r="AA2" s="302" t="s">
        <v>32</v>
      </c>
      <c r="AB2" s="240" t="s">
        <v>33</v>
      </c>
    </row>
    <row r="3" spans="1:29" s="153" customFormat="1" ht="24">
      <c r="A3" s="244">
        <v>1</v>
      </c>
      <c r="B3" s="156" t="s">
        <v>435</v>
      </c>
      <c r="C3" s="157" t="s">
        <v>57</v>
      </c>
      <c r="D3" s="158" t="s">
        <v>150</v>
      </c>
      <c r="E3" s="158">
        <v>1803042</v>
      </c>
      <c r="F3" s="156" t="s">
        <v>393</v>
      </c>
      <c r="G3" s="152" t="s">
        <v>436</v>
      </c>
      <c r="H3" s="156" t="s">
        <v>50</v>
      </c>
      <c r="I3" s="227">
        <v>0.92848</v>
      </c>
      <c r="J3" s="159" t="s">
        <v>437</v>
      </c>
      <c r="K3" s="154">
        <v>3234121.95</v>
      </c>
      <c r="L3" s="155">
        <v>1617060</v>
      </c>
      <c r="M3" s="161">
        <v>1617061.9500000002</v>
      </c>
      <c r="N3" s="160">
        <v>0.5</v>
      </c>
      <c r="O3" s="155">
        <v>0</v>
      </c>
      <c r="P3" s="155">
        <v>0</v>
      </c>
      <c r="Q3" s="154">
        <v>0</v>
      </c>
      <c r="R3" s="154">
        <v>682802</v>
      </c>
      <c r="S3" s="154">
        <v>934258</v>
      </c>
      <c r="T3" s="154">
        <v>0</v>
      </c>
      <c r="U3" s="154">
        <v>0</v>
      </c>
      <c r="V3" s="154">
        <v>0</v>
      </c>
      <c r="W3" s="155">
        <v>0</v>
      </c>
      <c r="X3" s="155">
        <v>0</v>
      </c>
      <c r="Y3" s="302" t="b">
        <f>L3=SUM(O3:X3)</f>
        <v>1</v>
      </c>
      <c r="Z3" s="303">
        <f>ROUND(L3/K3,4)</f>
        <v>0.5</v>
      </c>
      <c r="AA3" s="304" t="b">
        <f>Z3=N3</f>
        <v>1</v>
      </c>
      <c r="AB3" s="304" t="b">
        <f>K3=L3+M3</f>
        <v>1</v>
      </c>
      <c r="AC3" s="187"/>
    </row>
    <row r="4" spans="1:29" s="174" customFormat="1" ht="36">
      <c r="A4" s="246">
        <v>2</v>
      </c>
      <c r="B4" s="146" t="s">
        <v>442</v>
      </c>
      <c r="C4" s="147" t="s">
        <v>56</v>
      </c>
      <c r="D4" s="148" t="s">
        <v>443</v>
      </c>
      <c r="E4" s="148">
        <v>1804042</v>
      </c>
      <c r="F4" s="146" t="s">
        <v>87</v>
      </c>
      <c r="G4" s="41" t="s">
        <v>444</v>
      </c>
      <c r="H4" s="146" t="s">
        <v>50</v>
      </c>
      <c r="I4" s="229">
        <v>0.507</v>
      </c>
      <c r="J4" s="149" t="s">
        <v>445</v>
      </c>
      <c r="K4" s="162">
        <v>896194.67</v>
      </c>
      <c r="L4" s="163">
        <v>537716</v>
      </c>
      <c r="M4" s="164">
        <v>358478.67000000004</v>
      </c>
      <c r="N4" s="150">
        <v>0.6</v>
      </c>
      <c r="O4" s="163">
        <v>0</v>
      </c>
      <c r="P4" s="163">
        <v>0</v>
      </c>
      <c r="Q4" s="162">
        <v>0</v>
      </c>
      <c r="R4" s="164">
        <v>537716</v>
      </c>
      <c r="S4" s="164">
        <v>0</v>
      </c>
      <c r="T4" s="164">
        <v>0</v>
      </c>
      <c r="U4" s="164">
        <v>0</v>
      </c>
      <c r="V4" s="164">
        <v>0</v>
      </c>
      <c r="W4" s="163">
        <v>0</v>
      </c>
      <c r="X4" s="163">
        <v>0</v>
      </c>
      <c r="Y4" s="302" t="b">
        <f aca="true" t="shared" si="0" ref="Y4:Y51">L4=SUM(O4:X4)</f>
        <v>1</v>
      </c>
      <c r="Z4" s="303">
        <f aca="true" t="shared" si="1" ref="Z4:Z51">ROUND(L4/K4,4)</f>
        <v>0.6</v>
      </c>
      <c r="AA4" s="304" t="b">
        <f aca="true" t="shared" si="2" ref="AA4:AA51">Z4=N4</f>
        <v>1</v>
      </c>
      <c r="AB4" s="304" t="b">
        <f aca="true" t="shared" si="3" ref="AB4:AB51">K4=L4+M4</f>
        <v>1</v>
      </c>
      <c r="AC4" s="189"/>
    </row>
    <row r="5" spans="1:29" s="174" customFormat="1" ht="24">
      <c r="A5" s="246">
        <v>3</v>
      </c>
      <c r="B5" s="146"/>
      <c r="C5" s="147" t="s">
        <v>56</v>
      </c>
      <c r="D5" s="148" t="s">
        <v>570</v>
      </c>
      <c r="E5" s="148" t="s">
        <v>621</v>
      </c>
      <c r="F5" s="146" t="s">
        <v>440</v>
      </c>
      <c r="G5" s="41" t="s">
        <v>622</v>
      </c>
      <c r="H5" s="146" t="s">
        <v>50</v>
      </c>
      <c r="I5" s="229">
        <v>2.8888</v>
      </c>
      <c r="J5" s="149" t="s">
        <v>623</v>
      </c>
      <c r="K5" s="162">
        <v>3108058.08</v>
      </c>
      <c r="L5" s="163">
        <f>INT(K5*N5)</f>
        <v>1864834</v>
      </c>
      <c r="M5" s="164">
        <f>K5-L5</f>
        <v>1243224.08</v>
      </c>
      <c r="N5" s="150">
        <v>0.6</v>
      </c>
      <c r="O5" s="163">
        <v>0</v>
      </c>
      <c r="P5" s="163">
        <v>0</v>
      </c>
      <c r="Q5" s="162">
        <v>0</v>
      </c>
      <c r="R5" s="164">
        <f>L5</f>
        <v>1864834</v>
      </c>
      <c r="S5" s="164">
        <v>0</v>
      </c>
      <c r="T5" s="164">
        <v>0</v>
      </c>
      <c r="U5" s="164">
        <v>0</v>
      </c>
      <c r="V5" s="164">
        <v>0</v>
      </c>
      <c r="W5" s="163">
        <v>0</v>
      </c>
      <c r="X5" s="163">
        <v>0</v>
      </c>
      <c r="Y5" s="302" t="b">
        <f t="shared" si="0"/>
        <v>1</v>
      </c>
      <c r="Z5" s="303">
        <f t="shared" si="1"/>
        <v>0.6</v>
      </c>
      <c r="AA5" s="304" t="b">
        <f t="shared" si="2"/>
        <v>1</v>
      </c>
      <c r="AB5" s="304" t="b">
        <f t="shared" si="3"/>
        <v>1</v>
      </c>
      <c r="AC5" s="189"/>
    </row>
    <row r="6" spans="1:29" s="174" customFormat="1" ht="24">
      <c r="A6" s="246">
        <v>4</v>
      </c>
      <c r="B6" s="146"/>
      <c r="C6" s="147" t="s">
        <v>56</v>
      </c>
      <c r="D6" s="148" t="s">
        <v>611</v>
      </c>
      <c r="E6" s="148">
        <v>1818062</v>
      </c>
      <c r="F6" s="306" t="s">
        <v>73</v>
      </c>
      <c r="G6" s="41" t="s">
        <v>628</v>
      </c>
      <c r="H6" s="146" t="s">
        <v>50</v>
      </c>
      <c r="I6" s="229"/>
      <c r="J6" s="149"/>
      <c r="K6" s="162">
        <v>502811.5</v>
      </c>
      <c r="L6" s="163">
        <f>INT(K6*N6)</f>
        <v>301686</v>
      </c>
      <c r="M6" s="164">
        <f>K6-L6</f>
        <v>201125.5</v>
      </c>
      <c r="N6" s="150">
        <v>0.6</v>
      </c>
      <c r="O6" s="163">
        <v>0</v>
      </c>
      <c r="P6" s="163">
        <v>0</v>
      </c>
      <c r="Q6" s="162">
        <v>0</v>
      </c>
      <c r="R6" s="164">
        <f>L6</f>
        <v>301686</v>
      </c>
      <c r="S6" s="164">
        <v>0</v>
      </c>
      <c r="T6" s="164">
        <v>0</v>
      </c>
      <c r="U6" s="164">
        <v>0</v>
      </c>
      <c r="V6" s="164">
        <v>0</v>
      </c>
      <c r="W6" s="164">
        <v>0</v>
      </c>
      <c r="X6" s="164">
        <v>0</v>
      </c>
      <c r="Y6" s="302" t="b">
        <f t="shared" si="0"/>
        <v>1</v>
      </c>
      <c r="Z6" s="303">
        <f t="shared" si="1"/>
        <v>0.6</v>
      </c>
      <c r="AA6" s="304" t="b">
        <f t="shared" si="2"/>
        <v>1</v>
      </c>
      <c r="AB6" s="304" t="b">
        <f t="shared" si="3"/>
        <v>1</v>
      </c>
      <c r="AC6" s="189"/>
    </row>
    <row r="7" spans="1:29" s="174" customFormat="1" ht="72">
      <c r="A7" s="246">
        <v>5</v>
      </c>
      <c r="B7" s="322"/>
      <c r="C7" s="323" t="s">
        <v>56</v>
      </c>
      <c r="D7" s="324" t="s">
        <v>610</v>
      </c>
      <c r="E7" s="148">
        <v>1818032</v>
      </c>
      <c r="F7" s="322" t="s">
        <v>73</v>
      </c>
      <c r="G7" s="41" t="s">
        <v>619</v>
      </c>
      <c r="H7" s="325" t="s">
        <v>50</v>
      </c>
      <c r="I7" s="326">
        <v>2.156</v>
      </c>
      <c r="J7" s="327" t="s">
        <v>293</v>
      </c>
      <c r="K7" s="328">
        <v>3573793.27</v>
      </c>
      <c r="L7" s="329">
        <f>INT(K7*N7)</f>
        <v>2144275</v>
      </c>
      <c r="M7" s="330">
        <f>K7-L7</f>
        <v>1429518.27</v>
      </c>
      <c r="N7" s="331">
        <v>0.6</v>
      </c>
      <c r="O7" s="332">
        <v>0</v>
      </c>
      <c r="P7" s="332">
        <v>0</v>
      </c>
      <c r="Q7" s="333">
        <v>0</v>
      </c>
      <c r="R7" s="330">
        <f>L7</f>
        <v>2144275</v>
      </c>
      <c r="S7" s="332">
        <v>0</v>
      </c>
      <c r="T7" s="332">
        <v>0</v>
      </c>
      <c r="U7" s="332">
        <v>0</v>
      </c>
      <c r="V7" s="332">
        <v>0</v>
      </c>
      <c r="W7" s="332">
        <v>0</v>
      </c>
      <c r="X7" s="332">
        <v>0</v>
      </c>
      <c r="Y7" s="302" t="b">
        <f t="shared" si="0"/>
        <v>1</v>
      </c>
      <c r="Z7" s="303">
        <f t="shared" si="1"/>
        <v>0.6</v>
      </c>
      <c r="AA7" s="304" t="b">
        <f t="shared" si="2"/>
        <v>1</v>
      </c>
      <c r="AB7" s="304" t="b">
        <f t="shared" si="3"/>
        <v>1</v>
      </c>
      <c r="AC7" s="189"/>
    </row>
    <row r="8" spans="1:29" s="174" customFormat="1" ht="60">
      <c r="A8" s="246">
        <v>6</v>
      </c>
      <c r="B8" s="306"/>
      <c r="C8" s="306" t="s">
        <v>56</v>
      </c>
      <c r="D8" s="308" t="s">
        <v>624</v>
      </c>
      <c r="E8" s="148">
        <v>1812063</v>
      </c>
      <c r="F8" s="306" t="s">
        <v>440</v>
      </c>
      <c r="G8" s="334" t="s">
        <v>630</v>
      </c>
      <c r="H8" s="146" t="s">
        <v>50</v>
      </c>
      <c r="I8" s="310"/>
      <c r="J8" s="311"/>
      <c r="K8" s="312">
        <v>1115170.57</v>
      </c>
      <c r="L8" s="329">
        <f>INT(K8*N8)</f>
        <v>669102</v>
      </c>
      <c r="M8" s="330">
        <f>K8-L8</f>
        <v>446068.57000000007</v>
      </c>
      <c r="N8" s="150">
        <v>0.6</v>
      </c>
      <c r="O8" s="162">
        <v>0</v>
      </c>
      <c r="P8" s="162">
        <v>0</v>
      </c>
      <c r="Q8" s="162">
        <v>0</v>
      </c>
      <c r="R8" s="330">
        <f>L8</f>
        <v>669102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302" t="b">
        <f t="shared" si="0"/>
        <v>1</v>
      </c>
      <c r="Z8" s="303">
        <f t="shared" si="1"/>
        <v>0.6</v>
      </c>
      <c r="AA8" s="304" t="b">
        <f t="shared" si="2"/>
        <v>1</v>
      </c>
      <c r="AB8" s="304" t="b">
        <f t="shared" si="3"/>
        <v>1</v>
      </c>
      <c r="AC8" s="189"/>
    </row>
    <row r="9" spans="1:29" s="174" customFormat="1" ht="21">
      <c r="A9" s="246">
        <v>7</v>
      </c>
      <c r="B9" s="146" t="s">
        <v>449</v>
      </c>
      <c r="C9" s="147" t="s">
        <v>56</v>
      </c>
      <c r="D9" s="148" t="s">
        <v>450</v>
      </c>
      <c r="E9" s="148">
        <v>1804021</v>
      </c>
      <c r="F9" s="146" t="s">
        <v>87</v>
      </c>
      <c r="G9" s="41" t="s">
        <v>451</v>
      </c>
      <c r="H9" s="146" t="s">
        <v>50</v>
      </c>
      <c r="I9" s="229">
        <v>0.473</v>
      </c>
      <c r="J9" s="149" t="s">
        <v>238</v>
      </c>
      <c r="K9" s="162">
        <v>1700623.83</v>
      </c>
      <c r="L9" s="163">
        <v>850311</v>
      </c>
      <c r="M9" s="164">
        <v>850312.8300000001</v>
      </c>
      <c r="N9" s="150">
        <v>0.5</v>
      </c>
      <c r="O9" s="163">
        <v>0</v>
      </c>
      <c r="P9" s="163">
        <v>0</v>
      </c>
      <c r="Q9" s="162">
        <v>0</v>
      </c>
      <c r="R9" s="164">
        <v>850311</v>
      </c>
      <c r="S9" s="164">
        <v>0</v>
      </c>
      <c r="T9" s="164">
        <v>0</v>
      </c>
      <c r="U9" s="164">
        <v>0</v>
      </c>
      <c r="V9" s="164">
        <v>0</v>
      </c>
      <c r="W9" s="163">
        <v>0</v>
      </c>
      <c r="X9" s="163">
        <v>0</v>
      </c>
      <c r="Y9" s="302" t="b">
        <f t="shared" si="0"/>
        <v>1</v>
      </c>
      <c r="Z9" s="303">
        <f t="shared" si="1"/>
        <v>0.5</v>
      </c>
      <c r="AA9" s="304" t="b">
        <f t="shared" si="2"/>
        <v>1</v>
      </c>
      <c r="AB9" s="304" t="b">
        <f t="shared" si="3"/>
        <v>1</v>
      </c>
      <c r="AC9" s="189"/>
    </row>
    <row r="10" spans="1:29" s="174" customFormat="1" ht="24">
      <c r="A10" s="246">
        <v>8</v>
      </c>
      <c r="B10" s="146" t="s">
        <v>268</v>
      </c>
      <c r="C10" s="147" t="s">
        <v>56</v>
      </c>
      <c r="D10" s="148" t="s">
        <v>452</v>
      </c>
      <c r="E10" s="148">
        <v>1816102</v>
      </c>
      <c r="F10" s="146" t="s">
        <v>76</v>
      </c>
      <c r="G10" s="41" t="s">
        <v>453</v>
      </c>
      <c r="H10" s="146" t="s">
        <v>50</v>
      </c>
      <c r="I10" s="229">
        <v>0.995</v>
      </c>
      <c r="J10" s="149" t="s">
        <v>454</v>
      </c>
      <c r="K10" s="162">
        <v>446573.48</v>
      </c>
      <c r="L10" s="163">
        <v>267944</v>
      </c>
      <c r="M10" s="164">
        <v>178629.47999999998</v>
      </c>
      <c r="N10" s="150">
        <v>0.6</v>
      </c>
      <c r="O10" s="163">
        <v>0</v>
      </c>
      <c r="P10" s="163">
        <v>0</v>
      </c>
      <c r="Q10" s="162">
        <v>0</v>
      </c>
      <c r="R10" s="164">
        <v>267944</v>
      </c>
      <c r="S10" s="164">
        <v>0</v>
      </c>
      <c r="T10" s="164">
        <v>0</v>
      </c>
      <c r="U10" s="164">
        <v>0</v>
      </c>
      <c r="V10" s="164">
        <v>0</v>
      </c>
      <c r="W10" s="163">
        <v>0</v>
      </c>
      <c r="X10" s="163">
        <v>0</v>
      </c>
      <c r="Y10" s="302" t="b">
        <f t="shared" si="0"/>
        <v>1</v>
      </c>
      <c r="Z10" s="303">
        <f t="shared" si="1"/>
        <v>0.6</v>
      </c>
      <c r="AA10" s="304" t="b">
        <f t="shared" si="2"/>
        <v>1</v>
      </c>
      <c r="AB10" s="304" t="b">
        <f t="shared" si="3"/>
        <v>1</v>
      </c>
      <c r="AC10" s="189"/>
    </row>
    <row r="11" spans="1:29" s="174" customFormat="1" ht="36">
      <c r="A11" s="246">
        <v>9</v>
      </c>
      <c r="B11" s="146"/>
      <c r="C11" s="147" t="s">
        <v>56</v>
      </c>
      <c r="D11" s="148" t="s">
        <v>617</v>
      </c>
      <c r="E11" s="148">
        <v>1812073</v>
      </c>
      <c r="F11" s="146" t="s">
        <v>627</v>
      </c>
      <c r="G11" s="41" t="s">
        <v>629</v>
      </c>
      <c r="H11" s="146" t="s">
        <v>71</v>
      </c>
      <c r="I11" s="229"/>
      <c r="J11" s="149"/>
      <c r="K11" s="162">
        <v>2265761.51</v>
      </c>
      <c r="L11" s="329">
        <f>INT(K11*N11)</f>
        <v>1359456</v>
      </c>
      <c r="M11" s="164">
        <f>K11-L11</f>
        <v>906305.5099999998</v>
      </c>
      <c r="N11" s="150">
        <v>0.6</v>
      </c>
      <c r="O11" s="163">
        <v>0</v>
      </c>
      <c r="P11" s="163">
        <v>0</v>
      </c>
      <c r="Q11" s="162">
        <v>0</v>
      </c>
      <c r="R11" s="164">
        <f>L11</f>
        <v>1359456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3">
        <v>0</v>
      </c>
      <c r="Y11" s="302" t="b">
        <f t="shared" si="0"/>
        <v>1</v>
      </c>
      <c r="Z11" s="303">
        <f t="shared" si="1"/>
        <v>0.6</v>
      </c>
      <c r="AA11" s="304" t="b">
        <f t="shared" si="2"/>
        <v>1</v>
      </c>
      <c r="AB11" s="304" t="b">
        <f t="shared" si="3"/>
        <v>1</v>
      </c>
      <c r="AC11" s="189"/>
    </row>
    <row r="12" spans="1:29" s="174" customFormat="1" ht="24">
      <c r="A12" s="246">
        <v>10</v>
      </c>
      <c r="B12" s="146" t="s">
        <v>220</v>
      </c>
      <c r="C12" s="147" t="s">
        <v>56</v>
      </c>
      <c r="D12" s="148" t="s">
        <v>458</v>
      </c>
      <c r="E12" s="148">
        <v>1817042</v>
      </c>
      <c r="F12" s="146" t="s">
        <v>377</v>
      </c>
      <c r="G12" s="41" t="s">
        <v>459</v>
      </c>
      <c r="H12" s="146" t="s">
        <v>50</v>
      </c>
      <c r="I12" s="229">
        <v>0.912</v>
      </c>
      <c r="J12" s="149" t="s">
        <v>258</v>
      </c>
      <c r="K12" s="162">
        <v>746069.93</v>
      </c>
      <c r="L12" s="163">
        <v>373034</v>
      </c>
      <c r="M12" s="164">
        <v>373035.93000000005</v>
      </c>
      <c r="N12" s="150">
        <v>0.5</v>
      </c>
      <c r="O12" s="163">
        <v>0</v>
      </c>
      <c r="P12" s="163">
        <v>0</v>
      </c>
      <c r="Q12" s="162">
        <v>0</v>
      </c>
      <c r="R12" s="164">
        <v>373034</v>
      </c>
      <c r="S12" s="164">
        <v>0</v>
      </c>
      <c r="T12" s="164">
        <v>0</v>
      </c>
      <c r="U12" s="164">
        <v>0</v>
      </c>
      <c r="V12" s="164">
        <v>0</v>
      </c>
      <c r="W12" s="163">
        <v>0</v>
      </c>
      <c r="X12" s="163">
        <v>0</v>
      </c>
      <c r="Y12" s="302" t="b">
        <f t="shared" si="0"/>
        <v>1</v>
      </c>
      <c r="Z12" s="303">
        <f t="shared" si="1"/>
        <v>0.5</v>
      </c>
      <c r="AA12" s="304" t="b">
        <f t="shared" si="2"/>
        <v>1</v>
      </c>
      <c r="AB12" s="304" t="b">
        <f t="shared" si="3"/>
        <v>1</v>
      </c>
      <c r="AC12" s="189"/>
    </row>
    <row r="13" spans="1:29" s="174" customFormat="1" ht="24">
      <c r="A13" s="246">
        <v>11</v>
      </c>
      <c r="B13" s="146"/>
      <c r="C13" s="147" t="s">
        <v>56</v>
      </c>
      <c r="D13" s="148" t="s">
        <v>618</v>
      </c>
      <c r="E13" s="148">
        <v>1812032</v>
      </c>
      <c r="F13" s="146" t="s">
        <v>625</v>
      </c>
      <c r="G13" s="41" t="s">
        <v>626</v>
      </c>
      <c r="H13" s="146" t="s">
        <v>50</v>
      </c>
      <c r="I13" s="229"/>
      <c r="J13" s="149"/>
      <c r="K13" s="162">
        <v>2090188</v>
      </c>
      <c r="L13" s="163">
        <f>INT(K13*N13)</f>
        <v>1254112</v>
      </c>
      <c r="M13" s="164">
        <f>K13-L13</f>
        <v>836076</v>
      </c>
      <c r="N13" s="150">
        <v>0.6</v>
      </c>
      <c r="O13" s="163">
        <v>0</v>
      </c>
      <c r="P13" s="163">
        <v>0</v>
      </c>
      <c r="Q13" s="162">
        <v>0</v>
      </c>
      <c r="R13" s="164">
        <f>L13</f>
        <v>1254112</v>
      </c>
      <c r="S13" s="164">
        <v>0</v>
      </c>
      <c r="T13" s="164">
        <v>0</v>
      </c>
      <c r="U13" s="164">
        <v>0</v>
      </c>
      <c r="V13" s="164">
        <v>0</v>
      </c>
      <c r="W13" s="164">
        <v>0</v>
      </c>
      <c r="X13" s="163">
        <v>0</v>
      </c>
      <c r="Y13" s="302" t="b">
        <f t="shared" si="0"/>
        <v>1</v>
      </c>
      <c r="Z13" s="303">
        <f t="shared" si="1"/>
        <v>0.6</v>
      </c>
      <c r="AA13" s="304" t="b">
        <f t="shared" si="2"/>
        <v>1</v>
      </c>
      <c r="AB13" s="304" t="b">
        <f t="shared" si="3"/>
        <v>1</v>
      </c>
      <c r="AC13" s="189"/>
    </row>
    <row r="14" spans="1:29" s="174" customFormat="1" ht="36">
      <c r="A14" s="246">
        <v>12</v>
      </c>
      <c r="B14" s="146" t="s">
        <v>460</v>
      </c>
      <c r="C14" s="147" t="s">
        <v>56</v>
      </c>
      <c r="D14" s="148" t="s">
        <v>461</v>
      </c>
      <c r="E14" s="148">
        <v>1802042</v>
      </c>
      <c r="F14" s="146" t="s">
        <v>462</v>
      </c>
      <c r="G14" s="41" t="s">
        <v>463</v>
      </c>
      <c r="H14" s="146" t="s">
        <v>50</v>
      </c>
      <c r="I14" s="229">
        <v>0.88</v>
      </c>
      <c r="J14" s="149" t="s">
        <v>464</v>
      </c>
      <c r="K14" s="162">
        <v>286268.92</v>
      </c>
      <c r="L14" s="163">
        <v>171761</v>
      </c>
      <c r="M14" s="164">
        <v>114507.91999999998</v>
      </c>
      <c r="N14" s="150">
        <v>0.6</v>
      </c>
      <c r="O14" s="163">
        <v>0</v>
      </c>
      <c r="P14" s="163">
        <v>0</v>
      </c>
      <c r="Q14" s="162">
        <v>0</v>
      </c>
      <c r="R14" s="164">
        <v>171761</v>
      </c>
      <c r="S14" s="164">
        <v>0</v>
      </c>
      <c r="T14" s="164">
        <v>0</v>
      </c>
      <c r="U14" s="164">
        <v>0</v>
      </c>
      <c r="V14" s="164">
        <v>0</v>
      </c>
      <c r="W14" s="163">
        <v>0</v>
      </c>
      <c r="X14" s="163">
        <v>0</v>
      </c>
      <c r="Y14" s="302" t="b">
        <f t="shared" si="0"/>
        <v>1</v>
      </c>
      <c r="Z14" s="303">
        <f t="shared" si="1"/>
        <v>0.6</v>
      </c>
      <c r="AA14" s="304" t="b">
        <f t="shared" si="2"/>
        <v>1</v>
      </c>
      <c r="AB14" s="304" t="b">
        <f t="shared" si="3"/>
        <v>1</v>
      </c>
      <c r="AC14" s="189"/>
    </row>
    <row r="15" spans="1:29" s="174" customFormat="1" ht="24">
      <c r="A15" s="246">
        <v>13</v>
      </c>
      <c r="B15" s="146" t="s">
        <v>231</v>
      </c>
      <c r="C15" s="147" t="s">
        <v>56</v>
      </c>
      <c r="D15" s="148" t="s">
        <v>372</v>
      </c>
      <c r="E15" s="148">
        <v>1813072</v>
      </c>
      <c r="F15" s="146" t="s">
        <v>343</v>
      </c>
      <c r="G15" s="41" t="s">
        <v>465</v>
      </c>
      <c r="H15" s="146" t="s">
        <v>50</v>
      </c>
      <c r="I15" s="229">
        <v>0.65</v>
      </c>
      <c r="J15" s="149" t="s">
        <v>345</v>
      </c>
      <c r="K15" s="162">
        <v>603190.91</v>
      </c>
      <c r="L15" s="163">
        <v>361914</v>
      </c>
      <c r="M15" s="164">
        <v>241276.91000000003</v>
      </c>
      <c r="N15" s="150">
        <v>0.6</v>
      </c>
      <c r="O15" s="163">
        <v>0</v>
      </c>
      <c r="P15" s="163">
        <v>0</v>
      </c>
      <c r="Q15" s="162">
        <v>0</v>
      </c>
      <c r="R15" s="164">
        <v>361914</v>
      </c>
      <c r="S15" s="164">
        <v>0</v>
      </c>
      <c r="T15" s="164">
        <v>0</v>
      </c>
      <c r="U15" s="164">
        <v>0</v>
      </c>
      <c r="V15" s="164">
        <v>0</v>
      </c>
      <c r="W15" s="163">
        <v>0</v>
      </c>
      <c r="X15" s="163">
        <v>0</v>
      </c>
      <c r="Y15" s="302" t="b">
        <f t="shared" si="0"/>
        <v>1</v>
      </c>
      <c r="Z15" s="303">
        <f t="shared" si="1"/>
        <v>0.6</v>
      </c>
      <c r="AA15" s="304" t="b">
        <f t="shared" si="2"/>
        <v>1</v>
      </c>
      <c r="AB15" s="304" t="b">
        <f t="shared" si="3"/>
        <v>1</v>
      </c>
      <c r="AC15" s="189"/>
    </row>
    <row r="16" spans="1:29" s="174" customFormat="1" ht="48">
      <c r="A16" s="246">
        <v>14</v>
      </c>
      <c r="B16" s="146" t="s">
        <v>265</v>
      </c>
      <c r="C16" s="147" t="s">
        <v>56</v>
      </c>
      <c r="D16" s="148" t="s">
        <v>338</v>
      </c>
      <c r="E16" s="148">
        <v>1804032</v>
      </c>
      <c r="F16" s="146" t="s">
        <v>87</v>
      </c>
      <c r="G16" s="41" t="s">
        <v>466</v>
      </c>
      <c r="H16" s="146" t="s">
        <v>71</v>
      </c>
      <c r="I16" s="229">
        <v>4.049</v>
      </c>
      <c r="J16" s="149" t="s">
        <v>340</v>
      </c>
      <c r="K16" s="162">
        <v>1691273.55</v>
      </c>
      <c r="L16" s="163">
        <v>1014764</v>
      </c>
      <c r="M16" s="164">
        <v>676509.55</v>
      </c>
      <c r="N16" s="150">
        <v>0.6</v>
      </c>
      <c r="O16" s="163">
        <v>0</v>
      </c>
      <c r="P16" s="163">
        <v>0</v>
      </c>
      <c r="Q16" s="162">
        <v>0</v>
      </c>
      <c r="R16" s="164">
        <v>1014764</v>
      </c>
      <c r="S16" s="164">
        <v>0</v>
      </c>
      <c r="T16" s="164">
        <v>0</v>
      </c>
      <c r="U16" s="164">
        <v>0</v>
      </c>
      <c r="V16" s="164">
        <v>0</v>
      </c>
      <c r="W16" s="163">
        <v>0</v>
      </c>
      <c r="X16" s="163">
        <v>0</v>
      </c>
      <c r="Y16" s="302" t="b">
        <f t="shared" si="0"/>
        <v>1</v>
      </c>
      <c r="Z16" s="303">
        <f t="shared" si="1"/>
        <v>0.6</v>
      </c>
      <c r="AA16" s="304" t="b">
        <f t="shared" si="2"/>
        <v>1</v>
      </c>
      <c r="AB16" s="304" t="b">
        <f t="shared" si="3"/>
        <v>1</v>
      </c>
      <c r="AC16" s="189"/>
    </row>
    <row r="17" spans="1:29" s="174" customFormat="1" ht="48">
      <c r="A17" s="246">
        <v>15</v>
      </c>
      <c r="B17" s="146" t="s">
        <v>245</v>
      </c>
      <c r="C17" s="147" t="s">
        <v>56</v>
      </c>
      <c r="D17" s="148" t="s">
        <v>452</v>
      </c>
      <c r="E17" s="148">
        <v>1816102</v>
      </c>
      <c r="F17" s="146" t="s">
        <v>76</v>
      </c>
      <c r="G17" s="41" t="s">
        <v>467</v>
      </c>
      <c r="H17" s="146" t="s">
        <v>71</v>
      </c>
      <c r="I17" s="229">
        <v>2.816</v>
      </c>
      <c r="J17" s="149" t="s">
        <v>454</v>
      </c>
      <c r="K17" s="162">
        <v>1868308.34</v>
      </c>
      <c r="L17" s="163">
        <v>1120985</v>
      </c>
      <c r="M17" s="164">
        <v>747323.3400000001</v>
      </c>
      <c r="N17" s="150">
        <v>0.6</v>
      </c>
      <c r="O17" s="163">
        <v>0</v>
      </c>
      <c r="P17" s="163">
        <v>0</v>
      </c>
      <c r="Q17" s="162">
        <v>0</v>
      </c>
      <c r="R17" s="164">
        <v>1120985</v>
      </c>
      <c r="S17" s="164">
        <v>0</v>
      </c>
      <c r="T17" s="164">
        <v>0</v>
      </c>
      <c r="U17" s="164">
        <v>0</v>
      </c>
      <c r="V17" s="164">
        <v>0</v>
      </c>
      <c r="W17" s="163">
        <v>0</v>
      </c>
      <c r="X17" s="163">
        <v>0</v>
      </c>
      <c r="Y17" s="302" t="b">
        <f t="shared" si="0"/>
        <v>1</v>
      </c>
      <c r="Z17" s="303">
        <f t="shared" si="1"/>
        <v>0.6</v>
      </c>
      <c r="AA17" s="304" t="b">
        <f t="shared" si="2"/>
        <v>1</v>
      </c>
      <c r="AB17" s="304" t="b">
        <f t="shared" si="3"/>
        <v>1</v>
      </c>
      <c r="AC17" s="189"/>
    </row>
    <row r="18" spans="1:29" s="174" customFormat="1" ht="24">
      <c r="A18" s="246">
        <v>16</v>
      </c>
      <c r="B18" s="146" t="s">
        <v>298</v>
      </c>
      <c r="C18" s="147" t="s">
        <v>56</v>
      </c>
      <c r="D18" s="148" t="s">
        <v>468</v>
      </c>
      <c r="E18" s="148">
        <v>1801083</v>
      </c>
      <c r="F18" s="146" t="s">
        <v>469</v>
      </c>
      <c r="G18" s="41" t="s">
        <v>470</v>
      </c>
      <c r="H18" s="146" t="s">
        <v>71</v>
      </c>
      <c r="I18" s="229">
        <v>0.964</v>
      </c>
      <c r="J18" s="149" t="s">
        <v>219</v>
      </c>
      <c r="K18" s="162">
        <v>971176.57</v>
      </c>
      <c r="L18" s="163">
        <v>485588</v>
      </c>
      <c r="M18" s="164">
        <v>485588.56999999995</v>
      </c>
      <c r="N18" s="150">
        <v>0.5</v>
      </c>
      <c r="O18" s="163">
        <v>0</v>
      </c>
      <c r="P18" s="163">
        <v>0</v>
      </c>
      <c r="Q18" s="162">
        <v>0</v>
      </c>
      <c r="R18" s="164">
        <v>485588</v>
      </c>
      <c r="S18" s="164">
        <v>0</v>
      </c>
      <c r="T18" s="164">
        <v>0</v>
      </c>
      <c r="U18" s="164">
        <v>0</v>
      </c>
      <c r="V18" s="164">
        <v>0</v>
      </c>
      <c r="W18" s="163">
        <v>0</v>
      </c>
      <c r="X18" s="163">
        <v>0</v>
      </c>
      <c r="Y18" s="302" t="b">
        <f t="shared" si="0"/>
        <v>1</v>
      </c>
      <c r="Z18" s="303">
        <f t="shared" si="1"/>
        <v>0.5</v>
      </c>
      <c r="AA18" s="304" t="b">
        <f t="shared" si="2"/>
        <v>1</v>
      </c>
      <c r="AB18" s="304" t="b">
        <f t="shared" si="3"/>
        <v>1</v>
      </c>
      <c r="AC18" s="189"/>
    </row>
    <row r="19" spans="1:29" s="174" customFormat="1" ht="36">
      <c r="A19" s="246">
        <v>17</v>
      </c>
      <c r="B19" s="146" t="s">
        <v>471</v>
      </c>
      <c r="C19" s="147" t="s">
        <v>56</v>
      </c>
      <c r="D19" s="148" t="s">
        <v>472</v>
      </c>
      <c r="E19" s="148">
        <v>1807043</v>
      </c>
      <c r="F19" s="146" t="s">
        <v>353</v>
      </c>
      <c r="G19" s="41" t="s">
        <v>473</v>
      </c>
      <c r="H19" s="146" t="s">
        <v>71</v>
      </c>
      <c r="I19" s="229">
        <v>0.948</v>
      </c>
      <c r="J19" s="149" t="s">
        <v>255</v>
      </c>
      <c r="K19" s="162">
        <v>624697.32</v>
      </c>
      <c r="L19" s="163">
        <v>312348</v>
      </c>
      <c r="M19" s="164">
        <v>312349.31999999995</v>
      </c>
      <c r="N19" s="150">
        <v>0.5</v>
      </c>
      <c r="O19" s="163">
        <v>0</v>
      </c>
      <c r="P19" s="163">
        <v>0</v>
      </c>
      <c r="Q19" s="162">
        <v>0</v>
      </c>
      <c r="R19" s="164">
        <v>312348</v>
      </c>
      <c r="S19" s="164">
        <v>0</v>
      </c>
      <c r="T19" s="164">
        <v>0</v>
      </c>
      <c r="U19" s="164">
        <v>0</v>
      </c>
      <c r="V19" s="164">
        <v>0</v>
      </c>
      <c r="W19" s="163">
        <v>0</v>
      </c>
      <c r="X19" s="163">
        <v>0</v>
      </c>
      <c r="Y19" s="302" t="b">
        <f t="shared" si="0"/>
        <v>1</v>
      </c>
      <c r="Z19" s="303">
        <f t="shared" si="1"/>
        <v>0.5</v>
      </c>
      <c r="AA19" s="304" t="b">
        <f t="shared" si="2"/>
        <v>1</v>
      </c>
      <c r="AB19" s="304" t="b">
        <f t="shared" si="3"/>
        <v>1</v>
      </c>
      <c r="AC19" s="189"/>
    </row>
    <row r="20" spans="1:29" s="165" customFormat="1" ht="48">
      <c r="A20" s="244">
        <v>18</v>
      </c>
      <c r="B20" s="156" t="s">
        <v>477</v>
      </c>
      <c r="C20" s="157" t="s">
        <v>57</v>
      </c>
      <c r="D20" s="158" t="s">
        <v>92</v>
      </c>
      <c r="E20" s="158">
        <v>1816072</v>
      </c>
      <c r="F20" s="156" t="s">
        <v>76</v>
      </c>
      <c r="G20" s="152" t="s">
        <v>478</v>
      </c>
      <c r="H20" s="156" t="s">
        <v>50</v>
      </c>
      <c r="I20" s="227">
        <v>1.745</v>
      </c>
      <c r="J20" s="159" t="s">
        <v>261</v>
      </c>
      <c r="K20" s="154">
        <v>1878733.17</v>
      </c>
      <c r="L20" s="155">
        <v>1127239</v>
      </c>
      <c r="M20" s="161">
        <v>751494.1699999999</v>
      </c>
      <c r="N20" s="160">
        <v>0.6</v>
      </c>
      <c r="O20" s="155">
        <v>0</v>
      </c>
      <c r="P20" s="155">
        <v>0</v>
      </c>
      <c r="Q20" s="154">
        <v>0</v>
      </c>
      <c r="R20" s="161">
        <v>593289</v>
      </c>
      <c r="S20" s="161">
        <v>533950</v>
      </c>
      <c r="T20" s="161">
        <v>0</v>
      </c>
      <c r="U20" s="161">
        <v>0</v>
      </c>
      <c r="V20" s="161">
        <v>0</v>
      </c>
      <c r="W20" s="155">
        <v>0</v>
      </c>
      <c r="X20" s="155">
        <v>0</v>
      </c>
      <c r="Y20" s="302" t="b">
        <f t="shared" si="0"/>
        <v>1</v>
      </c>
      <c r="Z20" s="303">
        <f t="shared" si="1"/>
        <v>0.6</v>
      </c>
      <c r="AA20" s="304" t="b">
        <f t="shared" si="2"/>
        <v>1</v>
      </c>
      <c r="AB20" s="304" t="b">
        <f t="shared" si="3"/>
        <v>1</v>
      </c>
      <c r="AC20" s="187"/>
    </row>
    <row r="21" spans="1:29" s="165" customFormat="1" ht="24">
      <c r="A21" s="244">
        <v>19</v>
      </c>
      <c r="B21" s="156" t="s">
        <v>493</v>
      </c>
      <c r="C21" s="157" t="s">
        <v>57</v>
      </c>
      <c r="D21" s="158" t="s">
        <v>75</v>
      </c>
      <c r="E21" s="158">
        <v>1816092</v>
      </c>
      <c r="F21" s="156" t="s">
        <v>76</v>
      </c>
      <c r="G21" s="152" t="s">
        <v>494</v>
      </c>
      <c r="H21" s="156" t="s">
        <v>51</v>
      </c>
      <c r="I21" s="227">
        <v>0.5171399999999999</v>
      </c>
      <c r="J21" s="159" t="s">
        <v>284</v>
      </c>
      <c r="K21" s="154">
        <v>2990000</v>
      </c>
      <c r="L21" s="155">
        <v>1495000</v>
      </c>
      <c r="M21" s="161">
        <v>1495000</v>
      </c>
      <c r="N21" s="160">
        <v>0.5</v>
      </c>
      <c r="O21" s="155">
        <v>0</v>
      </c>
      <c r="P21" s="155">
        <v>0</v>
      </c>
      <c r="Q21" s="154">
        <v>0</v>
      </c>
      <c r="R21" s="161">
        <v>1495000</v>
      </c>
      <c r="S21" s="161">
        <v>0</v>
      </c>
      <c r="T21" s="161">
        <v>0</v>
      </c>
      <c r="U21" s="161">
        <v>0</v>
      </c>
      <c r="V21" s="161">
        <v>0</v>
      </c>
      <c r="W21" s="155">
        <v>0</v>
      </c>
      <c r="X21" s="155">
        <v>0</v>
      </c>
      <c r="Y21" s="302" t="b">
        <f t="shared" si="0"/>
        <v>1</v>
      </c>
      <c r="Z21" s="303">
        <f t="shared" si="1"/>
        <v>0.5</v>
      </c>
      <c r="AA21" s="304" t="b">
        <f t="shared" si="2"/>
        <v>1</v>
      </c>
      <c r="AB21" s="304" t="b">
        <f t="shared" si="3"/>
        <v>1</v>
      </c>
      <c r="AC21" s="187"/>
    </row>
    <row r="22" spans="1:29" s="174" customFormat="1" ht="24">
      <c r="A22" s="246">
        <v>20</v>
      </c>
      <c r="B22" s="146" t="s">
        <v>495</v>
      </c>
      <c r="C22" s="147" t="s">
        <v>56</v>
      </c>
      <c r="D22" s="148" t="s">
        <v>384</v>
      </c>
      <c r="E22" s="148">
        <v>1817082</v>
      </c>
      <c r="F22" s="146" t="s">
        <v>377</v>
      </c>
      <c r="G22" s="41" t="s">
        <v>496</v>
      </c>
      <c r="H22" s="146" t="s">
        <v>51</v>
      </c>
      <c r="I22" s="229">
        <v>0.783</v>
      </c>
      <c r="J22" s="149" t="s">
        <v>386</v>
      </c>
      <c r="K22" s="162">
        <v>1357229.83</v>
      </c>
      <c r="L22" s="163">
        <v>678614</v>
      </c>
      <c r="M22" s="164">
        <v>678615.8300000001</v>
      </c>
      <c r="N22" s="150">
        <v>0.5</v>
      </c>
      <c r="O22" s="163">
        <v>0</v>
      </c>
      <c r="P22" s="163">
        <v>0</v>
      </c>
      <c r="Q22" s="162">
        <v>0</v>
      </c>
      <c r="R22" s="164">
        <v>678614</v>
      </c>
      <c r="S22" s="164">
        <v>0</v>
      </c>
      <c r="T22" s="164">
        <v>0</v>
      </c>
      <c r="U22" s="164">
        <v>0</v>
      </c>
      <c r="V22" s="164">
        <v>0</v>
      </c>
      <c r="W22" s="163">
        <v>0</v>
      </c>
      <c r="X22" s="163">
        <v>0</v>
      </c>
      <c r="Y22" s="302" t="b">
        <f t="shared" si="0"/>
        <v>1</v>
      </c>
      <c r="Z22" s="303">
        <f t="shared" si="1"/>
        <v>0.5</v>
      </c>
      <c r="AA22" s="304" t="b">
        <f t="shared" si="2"/>
        <v>1</v>
      </c>
      <c r="AB22" s="304" t="b">
        <f t="shared" si="3"/>
        <v>1</v>
      </c>
      <c r="AC22" s="189"/>
    </row>
    <row r="23" spans="1:29" s="259" customFormat="1" ht="48">
      <c r="A23" s="244">
        <v>21</v>
      </c>
      <c r="B23" s="156" t="s">
        <v>497</v>
      </c>
      <c r="C23" s="157" t="s">
        <v>57</v>
      </c>
      <c r="D23" s="158" t="s">
        <v>483</v>
      </c>
      <c r="E23" s="158">
        <v>1812053</v>
      </c>
      <c r="F23" s="156" t="s">
        <v>440</v>
      </c>
      <c r="G23" s="152" t="s">
        <v>498</v>
      </c>
      <c r="H23" s="156" t="s">
        <v>50</v>
      </c>
      <c r="I23" s="227">
        <v>2.1408</v>
      </c>
      <c r="J23" s="159" t="s">
        <v>499</v>
      </c>
      <c r="K23" s="154">
        <v>9694637.32</v>
      </c>
      <c r="L23" s="155">
        <v>5816782</v>
      </c>
      <c r="M23" s="161">
        <v>3877855.3200000003</v>
      </c>
      <c r="N23" s="160">
        <v>0.6</v>
      </c>
      <c r="O23" s="155">
        <v>0</v>
      </c>
      <c r="P23" s="155">
        <v>0</v>
      </c>
      <c r="Q23" s="154">
        <v>0</v>
      </c>
      <c r="R23" s="161">
        <v>176484</v>
      </c>
      <c r="S23" s="161">
        <v>5640298</v>
      </c>
      <c r="T23" s="161">
        <v>0</v>
      </c>
      <c r="U23" s="161">
        <v>0</v>
      </c>
      <c r="V23" s="161">
        <v>0</v>
      </c>
      <c r="W23" s="155">
        <v>0</v>
      </c>
      <c r="X23" s="155">
        <v>0</v>
      </c>
      <c r="Y23" s="302" t="b">
        <f t="shared" si="0"/>
        <v>1</v>
      </c>
      <c r="Z23" s="303">
        <f t="shared" si="1"/>
        <v>0.6</v>
      </c>
      <c r="AA23" s="304" t="b">
        <f t="shared" si="2"/>
        <v>1</v>
      </c>
      <c r="AB23" s="304" t="b">
        <f t="shared" si="3"/>
        <v>1</v>
      </c>
      <c r="AC23" s="258"/>
    </row>
    <row r="24" spans="1:29" s="174" customFormat="1" ht="36">
      <c r="A24" s="246">
        <v>22</v>
      </c>
      <c r="B24" s="146" t="s">
        <v>431</v>
      </c>
      <c r="C24" s="147" t="s">
        <v>56</v>
      </c>
      <c r="D24" s="148" t="s">
        <v>500</v>
      </c>
      <c r="E24" s="148">
        <v>1811011</v>
      </c>
      <c r="F24" s="146" t="s">
        <v>501</v>
      </c>
      <c r="G24" s="41" t="s">
        <v>502</v>
      </c>
      <c r="H24" s="146" t="s">
        <v>50</v>
      </c>
      <c r="I24" s="229">
        <v>1.08676</v>
      </c>
      <c r="J24" s="149" t="s">
        <v>212</v>
      </c>
      <c r="K24" s="162">
        <v>4444834.75</v>
      </c>
      <c r="L24" s="163">
        <v>2222417</v>
      </c>
      <c r="M24" s="164">
        <v>2222417.75</v>
      </c>
      <c r="N24" s="150">
        <v>0.5</v>
      </c>
      <c r="O24" s="163">
        <v>0</v>
      </c>
      <c r="P24" s="163">
        <v>0</v>
      </c>
      <c r="Q24" s="162">
        <v>0</v>
      </c>
      <c r="R24" s="164">
        <v>2222417</v>
      </c>
      <c r="S24" s="164">
        <v>0</v>
      </c>
      <c r="T24" s="164">
        <v>0</v>
      </c>
      <c r="U24" s="164">
        <v>0</v>
      </c>
      <c r="V24" s="164">
        <v>0</v>
      </c>
      <c r="W24" s="163">
        <v>0</v>
      </c>
      <c r="X24" s="163">
        <v>0</v>
      </c>
      <c r="Y24" s="302" t="b">
        <f t="shared" si="0"/>
        <v>1</v>
      </c>
      <c r="Z24" s="303">
        <f t="shared" si="1"/>
        <v>0.5</v>
      </c>
      <c r="AA24" s="304" t="b">
        <f t="shared" si="2"/>
        <v>1</v>
      </c>
      <c r="AB24" s="304" t="b">
        <f t="shared" si="3"/>
        <v>1</v>
      </c>
      <c r="AC24" s="189"/>
    </row>
    <row r="25" spans="1:29" s="174" customFormat="1" ht="48">
      <c r="A25" s="246">
        <v>23</v>
      </c>
      <c r="B25" s="146" t="s">
        <v>503</v>
      </c>
      <c r="C25" s="147" t="s">
        <v>56</v>
      </c>
      <c r="D25" s="148" t="s">
        <v>490</v>
      </c>
      <c r="E25" s="148">
        <v>1820013</v>
      </c>
      <c r="F25" s="146" t="s">
        <v>357</v>
      </c>
      <c r="G25" s="41" t="s">
        <v>504</v>
      </c>
      <c r="H25" s="146" t="s">
        <v>50</v>
      </c>
      <c r="I25" s="229">
        <v>0.325</v>
      </c>
      <c r="J25" s="149" t="s">
        <v>409</v>
      </c>
      <c r="K25" s="162">
        <v>738000</v>
      </c>
      <c r="L25" s="163">
        <v>442800</v>
      </c>
      <c r="M25" s="164">
        <v>295200</v>
      </c>
      <c r="N25" s="150">
        <v>0.6</v>
      </c>
      <c r="O25" s="163">
        <v>0</v>
      </c>
      <c r="P25" s="163">
        <v>0</v>
      </c>
      <c r="Q25" s="162">
        <v>0</v>
      </c>
      <c r="R25" s="164">
        <v>442800</v>
      </c>
      <c r="S25" s="164">
        <v>0</v>
      </c>
      <c r="T25" s="164">
        <v>0</v>
      </c>
      <c r="U25" s="164">
        <v>0</v>
      </c>
      <c r="V25" s="164">
        <v>0</v>
      </c>
      <c r="W25" s="163">
        <v>0</v>
      </c>
      <c r="X25" s="163">
        <v>0</v>
      </c>
      <c r="Y25" s="302" t="b">
        <f t="shared" si="0"/>
        <v>1</v>
      </c>
      <c r="Z25" s="303">
        <f t="shared" si="1"/>
        <v>0.6</v>
      </c>
      <c r="AA25" s="304" t="b">
        <f t="shared" si="2"/>
        <v>1</v>
      </c>
      <c r="AB25" s="304" t="b">
        <f t="shared" si="3"/>
        <v>1</v>
      </c>
      <c r="AC25" s="189"/>
    </row>
    <row r="26" spans="1:29" s="174" customFormat="1" ht="24">
      <c r="A26" s="246">
        <v>24</v>
      </c>
      <c r="B26" s="146" t="s">
        <v>505</v>
      </c>
      <c r="C26" s="147" t="s">
        <v>56</v>
      </c>
      <c r="D26" s="148" t="s">
        <v>370</v>
      </c>
      <c r="E26" s="148">
        <v>1807012</v>
      </c>
      <c r="F26" s="146" t="s">
        <v>353</v>
      </c>
      <c r="G26" s="41" t="s">
        <v>506</v>
      </c>
      <c r="H26" s="146" t="s">
        <v>50</v>
      </c>
      <c r="I26" s="229">
        <v>4.00272</v>
      </c>
      <c r="J26" s="149" t="s">
        <v>219</v>
      </c>
      <c r="K26" s="162">
        <v>8105486.26</v>
      </c>
      <c r="L26" s="163">
        <v>4863291</v>
      </c>
      <c r="M26" s="164">
        <v>3242195.26</v>
      </c>
      <c r="N26" s="150">
        <v>0.6</v>
      </c>
      <c r="O26" s="163">
        <v>0</v>
      </c>
      <c r="P26" s="163">
        <v>0</v>
      </c>
      <c r="Q26" s="162">
        <v>0</v>
      </c>
      <c r="R26" s="164">
        <v>4863291</v>
      </c>
      <c r="S26" s="164">
        <v>0</v>
      </c>
      <c r="T26" s="164">
        <v>0</v>
      </c>
      <c r="U26" s="164">
        <v>0</v>
      </c>
      <c r="V26" s="164">
        <v>0</v>
      </c>
      <c r="W26" s="163">
        <v>0</v>
      </c>
      <c r="X26" s="163">
        <v>0</v>
      </c>
      <c r="Y26" s="302" t="b">
        <f t="shared" si="0"/>
        <v>1</v>
      </c>
      <c r="Z26" s="303">
        <f t="shared" si="1"/>
        <v>0.6</v>
      </c>
      <c r="AA26" s="304" t="b">
        <f t="shared" si="2"/>
        <v>1</v>
      </c>
      <c r="AB26" s="304" t="b">
        <f t="shared" si="3"/>
        <v>1</v>
      </c>
      <c r="AC26" s="189"/>
    </row>
    <row r="27" spans="1:29" s="174" customFormat="1" ht="24">
      <c r="A27" s="246">
        <v>25</v>
      </c>
      <c r="B27" s="146" t="s">
        <v>511</v>
      </c>
      <c r="C27" s="147" t="s">
        <v>56</v>
      </c>
      <c r="D27" s="148" t="s">
        <v>367</v>
      </c>
      <c r="E27" s="148">
        <v>1813082</v>
      </c>
      <c r="F27" s="146" t="s">
        <v>343</v>
      </c>
      <c r="G27" s="41" t="s">
        <v>512</v>
      </c>
      <c r="H27" s="146" t="s">
        <v>50</v>
      </c>
      <c r="I27" s="229">
        <v>0.866</v>
      </c>
      <c r="J27" s="149" t="s">
        <v>258</v>
      </c>
      <c r="K27" s="162">
        <v>1546650.5</v>
      </c>
      <c r="L27" s="163">
        <v>773325</v>
      </c>
      <c r="M27" s="164">
        <v>773325.5</v>
      </c>
      <c r="N27" s="150">
        <v>0.5</v>
      </c>
      <c r="O27" s="163">
        <v>0</v>
      </c>
      <c r="P27" s="163">
        <v>0</v>
      </c>
      <c r="Q27" s="162">
        <v>0</v>
      </c>
      <c r="R27" s="164">
        <v>773325</v>
      </c>
      <c r="S27" s="164">
        <v>0</v>
      </c>
      <c r="T27" s="164">
        <v>0</v>
      </c>
      <c r="U27" s="164">
        <v>0</v>
      </c>
      <c r="V27" s="164">
        <v>0</v>
      </c>
      <c r="W27" s="163">
        <v>0</v>
      </c>
      <c r="X27" s="163">
        <v>0</v>
      </c>
      <c r="Y27" s="302" t="b">
        <f t="shared" si="0"/>
        <v>1</v>
      </c>
      <c r="Z27" s="303">
        <f t="shared" si="1"/>
        <v>0.5</v>
      </c>
      <c r="AA27" s="304" t="b">
        <f t="shared" si="2"/>
        <v>1</v>
      </c>
      <c r="AB27" s="304" t="b">
        <f t="shared" si="3"/>
        <v>1</v>
      </c>
      <c r="AC27" s="189"/>
    </row>
    <row r="28" spans="1:29" s="174" customFormat="1" ht="36">
      <c r="A28" s="246">
        <v>26</v>
      </c>
      <c r="B28" s="146" t="s">
        <v>517</v>
      </c>
      <c r="C28" s="147" t="s">
        <v>56</v>
      </c>
      <c r="D28" s="148" t="s">
        <v>518</v>
      </c>
      <c r="E28" s="148">
        <v>1807052</v>
      </c>
      <c r="F28" s="146" t="s">
        <v>353</v>
      </c>
      <c r="G28" s="41" t="s">
        <v>519</v>
      </c>
      <c r="H28" s="146" t="s">
        <v>50</v>
      </c>
      <c r="I28" s="229">
        <v>0.759</v>
      </c>
      <c r="J28" s="149" t="s">
        <v>270</v>
      </c>
      <c r="K28" s="162">
        <v>3179844.03</v>
      </c>
      <c r="L28" s="163">
        <v>1907906</v>
      </c>
      <c r="M28" s="164">
        <v>1271938.0299999998</v>
      </c>
      <c r="N28" s="150">
        <v>0.6</v>
      </c>
      <c r="O28" s="163">
        <v>0</v>
      </c>
      <c r="P28" s="163">
        <v>0</v>
      </c>
      <c r="Q28" s="162">
        <v>0</v>
      </c>
      <c r="R28" s="164">
        <v>1907906</v>
      </c>
      <c r="S28" s="164">
        <v>0</v>
      </c>
      <c r="T28" s="164">
        <v>0</v>
      </c>
      <c r="U28" s="164">
        <v>0</v>
      </c>
      <c r="V28" s="164">
        <v>0</v>
      </c>
      <c r="W28" s="163">
        <v>0</v>
      </c>
      <c r="X28" s="163">
        <v>0</v>
      </c>
      <c r="Y28" s="302" t="b">
        <f t="shared" si="0"/>
        <v>1</v>
      </c>
      <c r="Z28" s="303">
        <f t="shared" si="1"/>
        <v>0.6</v>
      </c>
      <c r="AA28" s="304" t="b">
        <f t="shared" si="2"/>
        <v>1</v>
      </c>
      <c r="AB28" s="304" t="b">
        <f t="shared" si="3"/>
        <v>1</v>
      </c>
      <c r="AC28" s="189"/>
    </row>
    <row r="29" spans="1:29" s="174" customFormat="1" ht="24">
      <c r="A29" s="246">
        <v>27</v>
      </c>
      <c r="B29" s="146" t="s">
        <v>520</v>
      </c>
      <c r="C29" s="147" t="s">
        <v>56</v>
      </c>
      <c r="D29" s="148" t="s">
        <v>439</v>
      </c>
      <c r="E29" s="148">
        <v>1812012</v>
      </c>
      <c r="F29" s="146" t="s">
        <v>440</v>
      </c>
      <c r="G29" s="41" t="s">
        <v>521</v>
      </c>
      <c r="H29" s="146" t="s">
        <v>50</v>
      </c>
      <c r="I29" s="229">
        <v>0.7</v>
      </c>
      <c r="J29" s="149" t="s">
        <v>238</v>
      </c>
      <c r="K29" s="162">
        <v>1958078.43</v>
      </c>
      <c r="L29" s="163">
        <v>979039</v>
      </c>
      <c r="M29" s="164">
        <v>979039.4299999999</v>
      </c>
      <c r="N29" s="150">
        <v>0.5</v>
      </c>
      <c r="O29" s="163">
        <v>0</v>
      </c>
      <c r="P29" s="163">
        <v>0</v>
      </c>
      <c r="Q29" s="162">
        <v>0</v>
      </c>
      <c r="R29" s="164">
        <v>979039</v>
      </c>
      <c r="S29" s="164">
        <v>0</v>
      </c>
      <c r="T29" s="164">
        <v>0</v>
      </c>
      <c r="U29" s="164">
        <v>0</v>
      </c>
      <c r="V29" s="164">
        <v>0</v>
      </c>
      <c r="W29" s="163">
        <v>0</v>
      </c>
      <c r="X29" s="163">
        <v>0</v>
      </c>
      <c r="Y29" s="302" t="b">
        <f t="shared" si="0"/>
        <v>1</v>
      </c>
      <c r="Z29" s="303">
        <f t="shared" si="1"/>
        <v>0.5</v>
      </c>
      <c r="AA29" s="304" t="b">
        <f t="shared" si="2"/>
        <v>1</v>
      </c>
      <c r="AB29" s="304" t="b">
        <f t="shared" si="3"/>
        <v>1</v>
      </c>
      <c r="AC29" s="189"/>
    </row>
    <row r="30" spans="1:29" s="174" customFormat="1" ht="24">
      <c r="A30" s="246">
        <v>28</v>
      </c>
      <c r="B30" s="146" t="s">
        <v>522</v>
      </c>
      <c r="C30" s="147" t="s">
        <v>56</v>
      </c>
      <c r="D30" s="148" t="s">
        <v>523</v>
      </c>
      <c r="E30" s="148">
        <v>1802013</v>
      </c>
      <c r="F30" s="146" t="s">
        <v>462</v>
      </c>
      <c r="G30" s="41" t="s">
        <v>524</v>
      </c>
      <c r="H30" s="146" t="s">
        <v>50</v>
      </c>
      <c r="I30" s="229">
        <v>0.531</v>
      </c>
      <c r="J30" s="149" t="s">
        <v>492</v>
      </c>
      <c r="K30" s="162">
        <v>2536468.59</v>
      </c>
      <c r="L30" s="163">
        <v>1521881</v>
      </c>
      <c r="M30" s="164">
        <v>1014587.5899999999</v>
      </c>
      <c r="N30" s="150">
        <v>0.6</v>
      </c>
      <c r="O30" s="163">
        <v>0</v>
      </c>
      <c r="P30" s="163">
        <v>0</v>
      </c>
      <c r="Q30" s="162">
        <v>0</v>
      </c>
      <c r="R30" s="164">
        <v>1521881</v>
      </c>
      <c r="S30" s="164">
        <v>0</v>
      </c>
      <c r="T30" s="164">
        <v>0</v>
      </c>
      <c r="U30" s="164">
        <v>0</v>
      </c>
      <c r="V30" s="164">
        <v>0</v>
      </c>
      <c r="W30" s="163">
        <v>0</v>
      </c>
      <c r="X30" s="163">
        <v>0</v>
      </c>
      <c r="Y30" s="302" t="b">
        <f t="shared" si="0"/>
        <v>1</v>
      </c>
      <c r="Z30" s="303">
        <f t="shared" si="1"/>
        <v>0.6</v>
      </c>
      <c r="AA30" s="304" t="b">
        <f t="shared" si="2"/>
        <v>1</v>
      </c>
      <c r="AB30" s="304" t="b">
        <f t="shared" si="3"/>
        <v>1</v>
      </c>
      <c r="AC30" s="189"/>
    </row>
    <row r="31" spans="1:29" s="174" customFormat="1" ht="36">
      <c r="A31" s="246">
        <v>29</v>
      </c>
      <c r="B31" s="146" t="s">
        <v>525</v>
      </c>
      <c r="C31" s="147" t="s">
        <v>56</v>
      </c>
      <c r="D31" s="148" t="s">
        <v>526</v>
      </c>
      <c r="E31" s="148">
        <v>1805112</v>
      </c>
      <c r="F31" s="146" t="s">
        <v>348</v>
      </c>
      <c r="G31" s="41" t="s">
        <v>527</v>
      </c>
      <c r="H31" s="146" t="s">
        <v>50</v>
      </c>
      <c r="I31" s="229">
        <v>0.277</v>
      </c>
      <c r="J31" s="149" t="s">
        <v>528</v>
      </c>
      <c r="K31" s="162">
        <v>1128708.01</v>
      </c>
      <c r="L31" s="163">
        <v>677224</v>
      </c>
      <c r="M31" s="164">
        <v>451484.01</v>
      </c>
      <c r="N31" s="150">
        <v>0.6</v>
      </c>
      <c r="O31" s="163">
        <v>0</v>
      </c>
      <c r="P31" s="163">
        <v>0</v>
      </c>
      <c r="Q31" s="162">
        <v>0</v>
      </c>
      <c r="R31" s="164">
        <v>677224</v>
      </c>
      <c r="S31" s="164">
        <v>0</v>
      </c>
      <c r="T31" s="164">
        <v>0</v>
      </c>
      <c r="U31" s="164">
        <v>0</v>
      </c>
      <c r="V31" s="164">
        <v>0</v>
      </c>
      <c r="W31" s="163">
        <v>0</v>
      </c>
      <c r="X31" s="163">
        <v>0</v>
      </c>
      <c r="Y31" s="302" t="b">
        <f t="shared" si="0"/>
        <v>1</v>
      </c>
      <c r="Z31" s="303">
        <f t="shared" si="1"/>
        <v>0.6</v>
      </c>
      <c r="AA31" s="304" t="b">
        <f t="shared" si="2"/>
        <v>1</v>
      </c>
      <c r="AB31" s="304" t="b">
        <f t="shared" si="3"/>
        <v>1</v>
      </c>
      <c r="AC31" s="189"/>
    </row>
    <row r="32" spans="1:29" s="174" customFormat="1" ht="36">
      <c r="A32" s="246">
        <v>30</v>
      </c>
      <c r="B32" s="146" t="s">
        <v>253</v>
      </c>
      <c r="C32" s="147" t="s">
        <v>56</v>
      </c>
      <c r="D32" s="148" t="s">
        <v>529</v>
      </c>
      <c r="E32" s="148">
        <v>1811052</v>
      </c>
      <c r="F32" s="146" t="s">
        <v>501</v>
      </c>
      <c r="G32" s="41" t="s">
        <v>530</v>
      </c>
      <c r="H32" s="146" t="s">
        <v>50</v>
      </c>
      <c r="I32" s="229">
        <v>0.26430000000000003</v>
      </c>
      <c r="J32" s="149" t="s">
        <v>270</v>
      </c>
      <c r="K32" s="162">
        <v>860256.12</v>
      </c>
      <c r="L32" s="163">
        <v>430128</v>
      </c>
      <c r="M32" s="164">
        <v>430128.12</v>
      </c>
      <c r="N32" s="150">
        <v>0.5</v>
      </c>
      <c r="O32" s="163">
        <v>0</v>
      </c>
      <c r="P32" s="163">
        <v>0</v>
      </c>
      <c r="Q32" s="162">
        <v>0</v>
      </c>
      <c r="R32" s="164">
        <v>430128</v>
      </c>
      <c r="S32" s="164">
        <v>0</v>
      </c>
      <c r="T32" s="164">
        <v>0</v>
      </c>
      <c r="U32" s="164">
        <v>0</v>
      </c>
      <c r="V32" s="164">
        <v>0</v>
      </c>
      <c r="W32" s="163">
        <v>0</v>
      </c>
      <c r="X32" s="163">
        <v>0</v>
      </c>
      <c r="Y32" s="302" t="b">
        <f t="shared" si="0"/>
        <v>1</v>
      </c>
      <c r="Z32" s="303">
        <f t="shared" si="1"/>
        <v>0.5</v>
      </c>
      <c r="AA32" s="304" t="b">
        <f t="shared" si="2"/>
        <v>1</v>
      </c>
      <c r="AB32" s="304" t="b">
        <f t="shared" si="3"/>
        <v>1</v>
      </c>
      <c r="AC32" s="189"/>
    </row>
    <row r="33" spans="1:29" s="174" customFormat="1" ht="84">
      <c r="A33" s="246">
        <v>31</v>
      </c>
      <c r="B33" s="146" t="s">
        <v>531</v>
      </c>
      <c r="C33" s="147" t="s">
        <v>56</v>
      </c>
      <c r="D33" s="148" t="s">
        <v>532</v>
      </c>
      <c r="E33" s="148">
        <v>1811022</v>
      </c>
      <c r="F33" s="146" t="s">
        <v>501</v>
      </c>
      <c r="G33" s="41" t="s">
        <v>533</v>
      </c>
      <c r="H33" s="146" t="s">
        <v>50</v>
      </c>
      <c r="I33" s="229">
        <v>2.737</v>
      </c>
      <c r="J33" s="149" t="s">
        <v>420</v>
      </c>
      <c r="K33" s="162">
        <v>883767.05</v>
      </c>
      <c r="L33" s="163">
        <v>530260</v>
      </c>
      <c r="M33" s="164">
        <v>353507.05000000005</v>
      </c>
      <c r="N33" s="150">
        <v>0.6</v>
      </c>
      <c r="O33" s="163">
        <v>0</v>
      </c>
      <c r="P33" s="163">
        <v>0</v>
      </c>
      <c r="Q33" s="162">
        <v>0</v>
      </c>
      <c r="R33" s="164">
        <v>530260</v>
      </c>
      <c r="S33" s="164">
        <v>0</v>
      </c>
      <c r="T33" s="164">
        <v>0</v>
      </c>
      <c r="U33" s="164">
        <v>0</v>
      </c>
      <c r="V33" s="164">
        <v>0</v>
      </c>
      <c r="W33" s="163">
        <v>0</v>
      </c>
      <c r="X33" s="163">
        <v>0</v>
      </c>
      <c r="Y33" s="302" t="b">
        <f t="shared" si="0"/>
        <v>1</v>
      </c>
      <c r="Z33" s="303">
        <f t="shared" si="1"/>
        <v>0.6</v>
      </c>
      <c r="AA33" s="304" t="b">
        <f t="shared" si="2"/>
        <v>1</v>
      </c>
      <c r="AB33" s="304" t="b">
        <f t="shared" si="3"/>
        <v>1</v>
      </c>
      <c r="AC33" s="189"/>
    </row>
    <row r="34" spans="1:29" s="174" customFormat="1" ht="24">
      <c r="A34" s="246">
        <v>32</v>
      </c>
      <c r="B34" s="146" t="s">
        <v>534</v>
      </c>
      <c r="C34" s="147" t="s">
        <v>56</v>
      </c>
      <c r="D34" s="148" t="s">
        <v>535</v>
      </c>
      <c r="E34" s="148">
        <v>1803052</v>
      </c>
      <c r="F34" s="146" t="s">
        <v>393</v>
      </c>
      <c r="G34" s="41" t="s">
        <v>536</v>
      </c>
      <c r="H34" s="146" t="s">
        <v>50</v>
      </c>
      <c r="I34" s="229">
        <v>0.985</v>
      </c>
      <c r="J34" s="149" t="s">
        <v>537</v>
      </c>
      <c r="K34" s="162">
        <v>1345118.23</v>
      </c>
      <c r="L34" s="163">
        <v>672559</v>
      </c>
      <c r="M34" s="164">
        <v>672559.23</v>
      </c>
      <c r="N34" s="150">
        <v>0.5</v>
      </c>
      <c r="O34" s="163">
        <v>0</v>
      </c>
      <c r="P34" s="163">
        <v>0</v>
      </c>
      <c r="Q34" s="162">
        <v>0</v>
      </c>
      <c r="R34" s="164">
        <v>672559</v>
      </c>
      <c r="S34" s="164">
        <v>0</v>
      </c>
      <c r="T34" s="164">
        <v>0</v>
      </c>
      <c r="U34" s="164">
        <v>0</v>
      </c>
      <c r="V34" s="164">
        <v>0</v>
      </c>
      <c r="W34" s="163">
        <v>0</v>
      </c>
      <c r="X34" s="163">
        <v>0</v>
      </c>
      <c r="Y34" s="302" t="b">
        <f t="shared" si="0"/>
        <v>1</v>
      </c>
      <c r="Z34" s="303">
        <f t="shared" si="1"/>
        <v>0.5</v>
      </c>
      <c r="AA34" s="304" t="b">
        <f t="shared" si="2"/>
        <v>1</v>
      </c>
      <c r="AB34" s="304" t="b">
        <f t="shared" si="3"/>
        <v>1</v>
      </c>
      <c r="AC34" s="189"/>
    </row>
    <row r="35" spans="1:29" s="174" customFormat="1" ht="24">
      <c r="A35" s="246">
        <v>33</v>
      </c>
      <c r="B35" s="146" t="s">
        <v>538</v>
      </c>
      <c r="C35" s="147" t="s">
        <v>56</v>
      </c>
      <c r="D35" s="148" t="s">
        <v>468</v>
      </c>
      <c r="E35" s="148">
        <v>1801083</v>
      </c>
      <c r="F35" s="146" t="s">
        <v>469</v>
      </c>
      <c r="G35" s="41" t="s">
        <v>539</v>
      </c>
      <c r="H35" s="146" t="s">
        <v>50</v>
      </c>
      <c r="I35" s="229">
        <v>0.943</v>
      </c>
      <c r="J35" s="149" t="s">
        <v>219</v>
      </c>
      <c r="K35" s="162">
        <v>1167747.59</v>
      </c>
      <c r="L35" s="163">
        <v>583873</v>
      </c>
      <c r="M35" s="164">
        <v>583874.5900000001</v>
      </c>
      <c r="N35" s="150">
        <v>0.5</v>
      </c>
      <c r="O35" s="163">
        <v>0</v>
      </c>
      <c r="P35" s="163">
        <v>0</v>
      </c>
      <c r="Q35" s="162">
        <v>0</v>
      </c>
      <c r="R35" s="164">
        <v>583873</v>
      </c>
      <c r="S35" s="164">
        <v>0</v>
      </c>
      <c r="T35" s="164">
        <v>0</v>
      </c>
      <c r="U35" s="164">
        <v>0</v>
      </c>
      <c r="V35" s="164">
        <v>0</v>
      </c>
      <c r="W35" s="163">
        <v>0</v>
      </c>
      <c r="X35" s="163">
        <v>0</v>
      </c>
      <c r="Y35" s="302" t="b">
        <f t="shared" si="0"/>
        <v>1</v>
      </c>
      <c r="Z35" s="303">
        <f t="shared" si="1"/>
        <v>0.5</v>
      </c>
      <c r="AA35" s="304" t="b">
        <f t="shared" si="2"/>
        <v>1</v>
      </c>
      <c r="AB35" s="304" t="b">
        <f t="shared" si="3"/>
        <v>1</v>
      </c>
      <c r="AC35" s="189"/>
    </row>
    <row r="36" spans="1:29" s="174" customFormat="1" ht="24">
      <c r="A36" s="246">
        <v>34</v>
      </c>
      <c r="B36" s="146" t="s">
        <v>540</v>
      </c>
      <c r="C36" s="147" t="s">
        <v>56</v>
      </c>
      <c r="D36" s="148" t="s">
        <v>376</v>
      </c>
      <c r="E36" s="148">
        <v>1817052</v>
      </c>
      <c r="F36" s="146" t="s">
        <v>377</v>
      </c>
      <c r="G36" s="41" t="s">
        <v>541</v>
      </c>
      <c r="H36" s="146" t="s">
        <v>50</v>
      </c>
      <c r="I36" s="229">
        <v>0.55672</v>
      </c>
      <c r="J36" s="149" t="s">
        <v>270</v>
      </c>
      <c r="K36" s="162">
        <v>1359979.52</v>
      </c>
      <c r="L36" s="163">
        <v>679989</v>
      </c>
      <c r="M36" s="164">
        <v>679990.52</v>
      </c>
      <c r="N36" s="150">
        <v>0.5</v>
      </c>
      <c r="O36" s="163">
        <v>0</v>
      </c>
      <c r="P36" s="163">
        <v>0</v>
      </c>
      <c r="Q36" s="162">
        <v>0</v>
      </c>
      <c r="R36" s="164">
        <v>679989</v>
      </c>
      <c r="S36" s="164">
        <v>0</v>
      </c>
      <c r="T36" s="164">
        <v>0</v>
      </c>
      <c r="U36" s="164">
        <v>0</v>
      </c>
      <c r="V36" s="164">
        <v>0</v>
      </c>
      <c r="W36" s="163">
        <v>0</v>
      </c>
      <c r="X36" s="163">
        <v>0</v>
      </c>
      <c r="Y36" s="302" t="b">
        <f t="shared" si="0"/>
        <v>1</v>
      </c>
      <c r="Z36" s="303">
        <f t="shared" si="1"/>
        <v>0.5</v>
      </c>
      <c r="AA36" s="304" t="b">
        <f t="shared" si="2"/>
        <v>1</v>
      </c>
      <c r="AB36" s="304" t="b">
        <f t="shared" si="3"/>
        <v>1</v>
      </c>
      <c r="AC36" s="189"/>
    </row>
    <row r="37" spans="1:29" s="174" customFormat="1" ht="24">
      <c r="A37" s="246">
        <v>35</v>
      </c>
      <c r="B37" s="146" t="s">
        <v>542</v>
      </c>
      <c r="C37" s="147" t="s">
        <v>56</v>
      </c>
      <c r="D37" s="148" t="s">
        <v>543</v>
      </c>
      <c r="E37" s="148">
        <v>1821052</v>
      </c>
      <c r="F37" s="146" t="s">
        <v>544</v>
      </c>
      <c r="G37" s="41" t="s">
        <v>545</v>
      </c>
      <c r="H37" s="146" t="s">
        <v>50</v>
      </c>
      <c r="I37" s="229">
        <v>0.3582</v>
      </c>
      <c r="J37" s="149" t="s">
        <v>546</v>
      </c>
      <c r="K37" s="162">
        <v>553983.89</v>
      </c>
      <c r="L37" s="163">
        <v>276991</v>
      </c>
      <c r="M37" s="164">
        <v>276992.89</v>
      </c>
      <c r="N37" s="150">
        <v>0.5</v>
      </c>
      <c r="O37" s="163">
        <v>0</v>
      </c>
      <c r="P37" s="163">
        <v>0</v>
      </c>
      <c r="Q37" s="162">
        <v>0</v>
      </c>
      <c r="R37" s="164">
        <v>276991</v>
      </c>
      <c r="S37" s="164">
        <v>0</v>
      </c>
      <c r="T37" s="164">
        <v>0</v>
      </c>
      <c r="U37" s="164">
        <v>0</v>
      </c>
      <c r="V37" s="164">
        <v>0</v>
      </c>
      <c r="W37" s="163">
        <v>0</v>
      </c>
      <c r="X37" s="163">
        <v>0</v>
      </c>
      <c r="Y37" s="302" t="b">
        <f t="shared" si="0"/>
        <v>1</v>
      </c>
      <c r="Z37" s="303">
        <f t="shared" si="1"/>
        <v>0.5</v>
      </c>
      <c r="AA37" s="304" t="b">
        <f t="shared" si="2"/>
        <v>1</v>
      </c>
      <c r="AB37" s="304" t="b">
        <f t="shared" si="3"/>
        <v>1</v>
      </c>
      <c r="AC37" s="189"/>
    </row>
    <row r="38" spans="1:29" s="174" customFormat="1" ht="36">
      <c r="A38" s="246">
        <v>36</v>
      </c>
      <c r="B38" s="146" t="s">
        <v>547</v>
      </c>
      <c r="C38" s="147" t="s">
        <v>56</v>
      </c>
      <c r="D38" s="148" t="s">
        <v>411</v>
      </c>
      <c r="E38" s="148">
        <v>1816082</v>
      </c>
      <c r="F38" s="146" t="s">
        <v>76</v>
      </c>
      <c r="G38" s="41" t="s">
        <v>548</v>
      </c>
      <c r="H38" s="146" t="s">
        <v>71</v>
      </c>
      <c r="I38" s="229">
        <v>3.74</v>
      </c>
      <c r="J38" s="149" t="s">
        <v>350</v>
      </c>
      <c r="K38" s="162">
        <v>1192271.64</v>
      </c>
      <c r="L38" s="163">
        <v>596135</v>
      </c>
      <c r="M38" s="164">
        <v>596136.6399999999</v>
      </c>
      <c r="N38" s="150">
        <v>0.5</v>
      </c>
      <c r="O38" s="163">
        <v>0</v>
      </c>
      <c r="P38" s="163">
        <v>0</v>
      </c>
      <c r="Q38" s="162">
        <v>0</v>
      </c>
      <c r="R38" s="164">
        <v>596135</v>
      </c>
      <c r="S38" s="164">
        <v>0</v>
      </c>
      <c r="T38" s="164">
        <v>0</v>
      </c>
      <c r="U38" s="164">
        <v>0</v>
      </c>
      <c r="V38" s="164">
        <v>0</v>
      </c>
      <c r="W38" s="163">
        <v>0</v>
      </c>
      <c r="X38" s="163">
        <v>0</v>
      </c>
      <c r="Y38" s="302" t="b">
        <f t="shared" si="0"/>
        <v>1</v>
      </c>
      <c r="Z38" s="303">
        <f t="shared" si="1"/>
        <v>0.5</v>
      </c>
      <c r="AA38" s="304" t="b">
        <f t="shared" si="2"/>
        <v>1</v>
      </c>
      <c r="AB38" s="304" t="b">
        <f t="shared" si="3"/>
        <v>1</v>
      </c>
      <c r="AC38" s="189"/>
    </row>
    <row r="39" spans="1:29" s="174" customFormat="1" ht="36">
      <c r="A39" s="246">
        <v>37</v>
      </c>
      <c r="B39" s="146" t="s">
        <v>549</v>
      </c>
      <c r="C39" s="147" t="s">
        <v>56</v>
      </c>
      <c r="D39" s="148" t="s">
        <v>550</v>
      </c>
      <c r="E39" s="148">
        <v>1805082</v>
      </c>
      <c r="F39" s="146" t="s">
        <v>348</v>
      </c>
      <c r="G39" s="41" t="s">
        <v>551</v>
      </c>
      <c r="H39" s="146" t="s">
        <v>71</v>
      </c>
      <c r="I39" s="229">
        <v>1.688</v>
      </c>
      <c r="J39" s="149" t="s">
        <v>552</v>
      </c>
      <c r="K39" s="162">
        <v>740865.99</v>
      </c>
      <c r="L39" s="163">
        <v>370432</v>
      </c>
      <c r="M39" s="164">
        <v>370433.99</v>
      </c>
      <c r="N39" s="150">
        <v>0.5</v>
      </c>
      <c r="O39" s="163">
        <v>0</v>
      </c>
      <c r="P39" s="163">
        <v>0</v>
      </c>
      <c r="Q39" s="162">
        <v>0</v>
      </c>
      <c r="R39" s="164">
        <v>370432</v>
      </c>
      <c r="S39" s="164">
        <v>0</v>
      </c>
      <c r="T39" s="164">
        <v>0</v>
      </c>
      <c r="U39" s="164">
        <v>0</v>
      </c>
      <c r="V39" s="164">
        <v>0</v>
      </c>
      <c r="W39" s="163">
        <v>0</v>
      </c>
      <c r="X39" s="163">
        <v>0</v>
      </c>
      <c r="Y39" s="302" t="b">
        <f t="shared" si="0"/>
        <v>1</v>
      </c>
      <c r="Z39" s="303">
        <f t="shared" si="1"/>
        <v>0.5</v>
      </c>
      <c r="AA39" s="304" t="b">
        <f t="shared" si="2"/>
        <v>1</v>
      </c>
      <c r="AB39" s="304" t="b">
        <f t="shared" si="3"/>
        <v>1</v>
      </c>
      <c r="AC39" s="189"/>
    </row>
    <row r="40" spans="1:29" s="174" customFormat="1" ht="24">
      <c r="A40" s="246">
        <v>38</v>
      </c>
      <c r="B40" s="146" t="s">
        <v>553</v>
      </c>
      <c r="C40" s="147" t="s">
        <v>56</v>
      </c>
      <c r="D40" s="148" t="s">
        <v>543</v>
      </c>
      <c r="E40" s="148">
        <v>1821052</v>
      </c>
      <c r="F40" s="146" t="s">
        <v>544</v>
      </c>
      <c r="G40" s="41" t="s">
        <v>554</v>
      </c>
      <c r="H40" s="146" t="s">
        <v>71</v>
      </c>
      <c r="I40" s="229">
        <v>0.85272</v>
      </c>
      <c r="J40" s="149" t="s">
        <v>546</v>
      </c>
      <c r="K40" s="162">
        <v>1191335.2</v>
      </c>
      <c r="L40" s="163">
        <v>595667</v>
      </c>
      <c r="M40" s="164">
        <v>595668.2</v>
      </c>
      <c r="N40" s="150">
        <v>0.5</v>
      </c>
      <c r="O40" s="163">
        <v>0</v>
      </c>
      <c r="P40" s="163">
        <v>0</v>
      </c>
      <c r="Q40" s="162">
        <v>0</v>
      </c>
      <c r="R40" s="164">
        <v>595667</v>
      </c>
      <c r="S40" s="164">
        <v>0</v>
      </c>
      <c r="T40" s="164">
        <v>0</v>
      </c>
      <c r="U40" s="164">
        <v>0</v>
      </c>
      <c r="V40" s="164">
        <v>0</v>
      </c>
      <c r="W40" s="163">
        <v>0</v>
      </c>
      <c r="X40" s="163">
        <v>0</v>
      </c>
      <c r="Y40" s="302" t="b">
        <f t="shared" si="0"/>
        <v>1</v>
      </c>
      <c r="Z40" s="303">
        <f t="shared" si="1"/>
        <v>0.5</v>
      </c>
      <c r="AA40" s="304" t="b">
        <f t="shared" si="2"/>
        <v>1</v>
      </c>
      <c r="AB40" s="304" t="b">
        <f t="shared" si="3"/>
        <v>1</v>
      </c>
      <c r="AC40" s="189"/>
    </row>
    <row r="41" spans="1:29" s="174" customFormat="1" ht="36">
      <c r="A41" s="246">
        <v>39</v>
      </c>
      <c r="B41" s="146" t="s">
        <v>555</v>
      </c>
      <c r="C41" s="147" t="s">
        <v>56</v>
      </c>
      <c r="D41" s="148" t="s">
        <v>156</v>
      </c>
      <c r="E41" s="148">
        <v>1814053</v>
      </c>
      <c r="F41" s="146" t="s">
        <v>407</v>
      </c>
      <c r="G41" s="41" t="s">
        <v>556</v>
      </c>
      <c r="H41" s="146" t="s">
        <v>71</v>
      </c>
      <c r="I41" s="229">
        <v>0.694</v>
      </c>
      <c r="J41" s="149" t="s">
        <v>557</v>
      </c>
      <c r="K41" s="162">
        <v>218246.87</v>
      </c>
      <c r="L41" s="163">
        <v>130948</v>
      </c>
      <c r="M41" s="164">
        <v>87298.87</v>
      </c>
      <c r="N41" s="150">
        <v>0.6</v>
      </c>
      <c r="O41" s="163">
        <v>0</v>
      </c>
      <c r="P41" s="163">
        <v>0</v>
      </c>
      <c r="Q41" s="162">
        <v>0</v>
      </c>
      <c r="R41" s="164">
        <v>130948</v>
      </c>
      <c r="S41" s="164">
        <v>0</v>
      </c>
      <c r="T41" s="164">
        <v>0</v>
      </c>
      <c r="U41" s="164">
        <v>0</v>
      </c>
      <c r="V41" s="164">
        <v>0</v>
      </c>
      <c r="W41" s="163">
        <v>0</v>
      </c>
      <c r="X41" s="163">
        <v>0</v>
      </c>
      <c r="Y41" s="302" t="b">
        <f t="shared" si="0"/>
        <v>1</v>
      </c>
      <c r="Z41" s="303">
        <f t="shared" si="1"/>
        <v>0.6</v>
      </c>
      <c r="AA41" s="304" t="b">
        <f t="shared" si="2"/>
        <v>1</v>
      </c>
      <c r="AB41" s="304" t="b">
        <f t="shared" si="3"/>
        <v>1</v>
      </c>
      <c r="AC41" s="189"/>
    </row>
    <row r="42" spans="1:29" s="174" customFormat="1" ht="36">
      <c r="A42" s="246">
        <v>40</v>
      </c>
      <c r="B42" s="146" t="s">
        <v>251</v>
      </c>
      <c r="C42" s="147" t="s">
        <v>56</v>
      </c>
      <c r="D42" s="148" t="s">
        <v>558</v>
      </c>
      <c r="E42" s="148">
        <v>1821033</v>
      </c>
      <c r="F42" s="146" t="s">
        <v>544</v>
      </c>
      <c r="G42" s="41" t="s">
        <v>559</v>
      </c>
      <c r="H42" s="146" t="s">
        <v>71</v>
      </c>
      <c r="I42" s="229">
        <v>0.224</v>
      </c>
      <c r="J42" s="149" t="s">
        <v>270</v>
      </c>
      <c r="K42" s="162">
        <v>238351</v>
      </c>
      <c r="L42" s="163">
        <v>143010</v>
      </c>
      <c r="M42" s="164">
        <v>95341</v>
      </c>
      <c r="N42" s="150">
        <v>0.6</v>
      </c>
      <c r="O42" s="163">
        <v>0</v>
      </c>
      <c r="P42" s="163">
        <v>0</v>
      </c>
      <c r="Q42" s="162">
        <v>0</v>
      </c>
      <c r="R42" s="164">
        <v>143010</v>
      </c>
      <c r="S42" s="164">
        <v>0</v>
      </c>
      <c r="T42" s="164">
        <v>0</v>
      </c>
      <c r="U42" s="164">
        <v>0</v>
      </c>
      <c r="V42" s="164">
        <v>0</v>
      </c>
      <c r="W42" s="163">
        <v>0</v>
      </c>
      <c r="X42" s="163">
        <v>0</v>
      </c>
      <c r="Y42" s="302" t="b">
        <f t="shared" si="0"/>
        <v>1</v>
      </c>
      <c r="Z42" s="303">
        <f t="shared" si="1"/>
        <v>0.6</v>
      </c>
      <c r="AA42" s="304" t="b">
        <f t="shared" si="2"/>
        <v>1</v>
      </c>
      <c r="AB42" s="304" t="b">
        <f t="shared" si="3"/>
        <v>1</v>
      </c>
      <c r="AC42" s="189"/>
    </row>
    <row r="43" spans="1:29" s="174" customFormat="1" ht="72">
      <c r="A43" s="246">
        <v>41</v>
      </c>
      <c r="B43" s="146" t="s">
        <v>560</v>
      </c>
      <c r="C43" s="147" t="s">
        <v>56</v>
      </c>
      <c r="D43" s="148" t="s">
        <v>561</v>
      </c>
      <c r="E43" s="148">
        <v>1819032</v>
      </c>
      <c r="F43" s="146" t="s">
        <v>562</v>
      </c>
      <c r="G43" s="41" t="s">
        <v>563</v>
      </c>
      <c r="H43" s="146" t="s">
        <v>71</v>
      </c>
      <c r="I43" s="229">
        <v>2.46</v>
      </c>
      <c r="J43" s="149" t="s">
        <v>546</v>
      </c>
      <c r="K43" s="162">
        <v>1098532.26</v>
      </c>
      <c r="L43" s="163">
        <v>659119</v>
      </c>
      <c r="M43" s="164">
        <v>439413.26</v>
      </c>
      <c r="N43" s="150">
        <v>0.6</v>
      </c>
      <c r="O43" s="163">
        <v>0</v>
      </c>
      <c r="P43" s="163">
        <v>0</v>
      </c>
      <c r="Q43" s="162">
        <v>0</v>
      </c>
      <c r="R43" s="164">
        <v>659119</v>
      </c>
      <c r="S43" s="164">
        <v>0</v>
      </c>
      <c r="T43" s="164">
        <v>0</v>
      </c>
      <c r="U43" s="164">
        <v>0</v>
      </c>
      <c r="V43" s="164">
        <v>0</v>
      </c>
      <c r="W43" s="163">
        <v>0</v>
      </c>
      <c r="X43" s="163">
        <v>0</v>
      </c>
      <c r="Y43" s="302" t="b">
        <f t="shared" si="0"/>
        <v>1</v>
      </c>
      <c r="Z43" s="303">
        <f t="shared" si="1"/>
        <v>0.6</v>
      </c>
      <c r="AA43" s="304" t="b">
        <f t="shared" si="2"/>
        <v>1</v>
      </c>
      <c r="AB43" s="304" t="b">
        <f t="shared" si="3"/>
        <v>1</v>
      </c>
      <c r="AC43" s="189"/>
    </row>
    <row r="44" spans="1:29" s="165" customFormat="1" ht="48">
      <c r="A44" s="244">
        <v>42</v>
      </c>
      <c r="B44" s="156" t="s">
        <v>564</v>
      </c>
      <c r="C44" s="157" t="s">
        <v>57</v>
      </c>
      <c r="D44" s="158" t="s">
        <v>392</v>
      </c>
      <c r="E44" s="158">
        <v>1803023</v>
      </c>
      <c r="F44" s="156" t="s">
        <v>393</v>
      </c>
      <c r="G44" s="152" t="s">
        <v>565</v>
      </c>
      <c r="H44" s="156" t="s">
        <v>51</v>
      </c>
      <c r="I44" s="227">
        <v>1.878</v>
      </c>
      <c r="J44" s="159" t="s">
        <v>566</v>
      </c>
      <c r="K44" s="154">
        <v>13443088.2</v>
      </c>
      <c r="L44" s="155">
        <v>6721544</v>
      </c>
      <c r="M44" s="161">
        <v>6721544.199999999</v>
      </c>
      <c r="N44" s="160">
        <v>0.5</v>
      </c>
      <c r="O44" s="155">
        <v>0</v>
      </c>
      <c r="P44" s="155">
        <v>0</v>
      </c>
      <c r="Q44" s="154">
        <v>0</v>
      </c>
      <c r="R44" s="161">
        <v>1137</v>
      </c>
      <c r="S44" s="161">
        <v>171500</v>
      </c>
      <c r="T44" s="161">
        <v>3891371</v>
      </c>
      <c r="U44" s="161">
        <v>2657536</v>
      </c>
      <c r="V44" s="161">
        <v>0</v>
      </c>
      <c r="W44" s="155">
        <v>0</v>
      </c>
      <c r="X44" s="155">
        <v>0</v>
      </c>
      <c r="Y44" s="302" t="b">
        <f t="shared" si="0"/>
        <v>1</v>
      </c>
      <c r="Z44" s="303">
        <f t="shared" si="1"/>
        <v>0.5</v>
      </c>
      <c r="AA44" s="304" t="b">
        <f t="shared" si="2"/>
        <v>1</v>
      </c>
      <c r="AB44" s="304" t="b">
        <f t="shared" si="3"/>
        <v>1</v>
      </c>
      <c r="AC44" s="187"/>
    </row>
    <row r="45" spans="1:29" s="174" customFormat="1" ht="48">
      <c r="A45" s="246">
        <v>43</v>
      </c>
      <c r="B45" s="146" t="s">
        <v>567</v>
      </c>
      <c r="C45" s="147" t="s">
        <v>56</v>
      </c>
      <c r="D45" s="148" t="s">
        <v>342</v>
      </c>
      <c r="E45" s="148">
        <v>1813032</v>
      </c>
      <c r="F45" s="146" t="s">
        <v>343</v>
      </c>
      <c r="G45" s="41" t="s">
        <v>568</v>
      </c>
      <c r="H45" s="146" t="s">
        <v>50</v>
      </c>
      <c r="I45" s="229">
        <v>1.411</v>
      </c>
      <c r="J45" s="149" t="s">
        <v>345</v>
      </c>
      <c r="K45" s="162">
        <v>1057198.67</v>
      </c>
      <c r="L45" s="163">
        <v>528599</v>
      </c>
      <c r="M45" s="164">
        <v>528599.6699999999</v>
      </c>
      <c r="N45" s="150">
        <v>0.5</v>
      </c>
      <c r="O45" s="163">
        <v>0</v>
      </c>
      <c r="P45" s="163">
        <v>0</v>
      </c>
      <c r="Q45" s="162">
        <v>0</v>
      </c>
      <c r="R45" s="164">
        <v>528599</v>
      </c>
      <c r="S45" s="164">
        <v>0</v>
      </c>
      <c r="T45" s="164">
        <v>0</v>
      </c>
      <c r="U45" s="164">
        <v>0</v>
      </c>
      <c r="V45" s="164">
        <v>0</v>
      </c>
      <c r="W45" s="163">
        <v>0</v>
      </c>
      <c r="X45" s="163">
        <v>0</v>
      </c>
      <c r="Y45" s="302" t="b">
        <f t="shared" si="0"/>
        <v>1</v>
      </c>
      <c r="Z45" s="303">
        <f t="shared" si="1"/>
        <v>0.5</v>
      </c>
      <c r="AA45" s="304" t="b">
        <f t="shared" si="2"/>
        <v>1</v>
      </c>
      <c r="AB45" s="304" t="b">
        <f t="shared" si="3"/>
        <v>1</v>
      </c>
      <c r="AC45" s="189"/>
    </row>
    <row r="46" spans="1:29" s="174" customFormat="1" ht="48">
      <c r="A46" s="246">
        <v>44</v>
      </c>
      <c r="B46" s="146" t="s">
        <v>579</v>
      </c>
      <c r="C46" s="147" t="s">
        <v>56</v>
      </c>
      <c r="D46" s="148" t="s">
        <v>580</v>
      </c>
      <c r="E46" s="148">
        <v>1807023</v>
      </c>
      <c r="F46" s="146" t="s">
        <v>353</v>
      </c>
      <c r="G46" s="41" t="s">
        <v>581</v>
      </c>
      <c r="H46" s="146" t="s">
        <v>71</v>
      </c>
      <c r="I46" s="229">
        <v>0.649</v>
      </c>
      <c r="J46" s="149" t="s">
        <v>409</v>
      </c>
      <c r="K46" s="162">
        <v>246708.77</v>
      </c>
      <c r="L46" s="163">
        <v>123354</v>
      </c>
      <c r="M46" s="164">
        <v>123354.76999999999</v>
      </c>
      <c r="N46" s="150">
        <v>0.5</v>
      </c>
      <c r="O46" s="163">
        <v>0</v>
      </c>
      <c r="P46" s="163">
        <v>0</v>
      </c>
      <c r="Q46" s="162">
        <v>0</v>
      </c>
      <c r="R46" s="164">
        <v>123354</v>
      </c>
      <c r="S46" s="164">
        <v>0</v>
      </c>
      <c r="T46" s="164">
        <v>0</v>
      </c>
      <c r="U46" s="164">
        <v>0</v>
      </c>
      <c r="V46" s="164">
        <v>0</v>
      </c>
      <c r="W46" s="163">
        <v>0</v>
      </c>
      <c r="X46" s="163">
        <v>0</v>
      </c>
      <c r="Y46" s="302" t="b">
        <f t="shared" si="0"/>
        <v>1</v>
      </c>
      <c r="Z46" s="303">
        <f t="shared" si="1"/>
        <v>0.5</v>
      </c>
      <c r="AA46" s="304" t="b">
        <f t="shared" si="2"/>
        <v>1</v>
      </c>
      <c r="AB46" s="304" t="b">
        <f t="shared" si="3"/>
        <v>1</v>
      </c>
      <c r="AC46" s="189"/>
    </row>
    <row r="47" spans="1:29" s="165" customFormat="1" ht="48">
      <c r="A47" s="244">
        <v>45</v>
      </c>
      <c r="B47" s="156" t="s">
        <v>582</v>
      </c>
      <c r="C47" s="157" t="s">
        <v>57</v>
      </c>
      <c r="D47" s="158" t="s">
        <v>583</v>
      </c>
      <c r="E47" s="158">
        <v>1864011</v>
      </c>
      <c r="F47" s="156" t="s">
        <v>584</v>
      </c>
      <c r="G47" s="152" t="s">
        <v>585</v>
      </c>
      <c r="H47" s="156" t="s">
        <v>51</v>
      </c>
      <c r="I47" s="227">
        <v>2.35695</v>
      </c>
      <c r="J47" s="159" t="s">
        <v>586</v>
      </c>
      <c r="K47" s="154">
        <v>11752615.3</v>
      </c>
      <c r="L47" s="155">
        <v>5876307</v>
      </c>
      <c r="M47" s="161">
        <v>5876308.300000001</v>
      </c>
      <c r="N47" s="160">
        <v>0.5</v>
      </c>
      <c r="O47" s="155">
        <v>0</v>
      </c>
      <c r="P47" s="155">
        <v>0</v>
      </c>
      <c r="Q47" s="154">
        <v>0</v>
      </c>
      <c r="R47" s="161">
        <v>72000</v>
      </c>
      <c r="S47" s="161">
        <v>1210952</v>
      </c>
      <c r="T47" s="161">
        <v>4531588</v>
      </c>
      <c r="U47" s="161">
        <v>61767</v>
      </c>
      <c r="V47" s="161">
        <v>0</v>
      </c>
      <c r="W47" s="155">
        <v>0</v>
      </c>
      <c r="X47" s="155">
        <v>0</v>
      </c>
      <c r="Y47" s="302" t="b">
        <f t="shared" si="0"/>
        <v>1</v>
      </c>
      <c r="Z47" s="303">
        <f t="shared" si="1"/>
        <v>0.5</v>
      </c>
      <c r="AA47" s="304" t="b">
        <f t="shared" si="2"/>
        <v>1</v>
      </c>
      <c r="AB47" s="304" t="b">
        <f t="shared" si="3"/>
        <v>1</v>
      </c>
      <c r="AC47" s="187"/>
    </row>
    <row r="48" spans="1:29" s="165" customFormat="1" ht="24">
      <c r="A48" s="244">
        <v>46</v>
      </c>
      <c r="B48" s="156" t="s">
        <v>587</v>
      </c>
      <c r="C48" s="157" t="s">
        <v>57</v>
      </c>
      <c r="D48" s="158" t="s">
        <v>322</v>
      </c>
      <c r="E48" s="158">
        <v>1861011</v>
      </c>
      <c r="F48" s="156" t="s">
        <v>94</v>
      </c>
      <c r="G48" s="152" t="s">
        <v>588</v>
      </c>
      <c r="H48" s="156" t="s">
        <v>51</v>
      </c>
      <c r="I48" s="227">
        <v>2.16233</v>
      </c>
      <c r="J48" s="159" t="s">
        <v>499</v>
      </c>
      <c r="K48" s="154">
        <v>16422504.46</v>
      </c>
      <c r="L48" s="155">
        <v>8211252</v>
      </c>
      <c r="M48" s="161">
        <v>8211252.460000001</v>
      </c>
      <c r="N48" s="160">
        <v>0.5</v>
      </c>
      <c r="O48" s="155">
        <v>0</v>
      </c>
      <c r="P48" s="155">
        <v>0</v>
      </c>
      <c r="Q48" s="154">
        <v>0</v>
      </c>
      <c r="R48" s="161">
        <v>4310058</v>
      </c>
      <c r="S48" s="161">
        <v>3901194</v>
      </c>
      <c r="T48" s="161">
        <v>0</v>
      </c>
      <c r="U48" s="161">
        <v>0</v>
      </c>
      <c r="V48" s="161">
        <v>0</v>
      </c>
      <c r="W48" s="155">
        <v>0</v>
      </c>
      <c r="X48" s="155">
        <v>0</v>
      </c>
      <c r="Y48" s="302" t="b">
        <f t="shared" si="0"/>
        <v>1</v>
      </c>
      <c r="Z48" s="303">
        <f t="shared" si="1"/>
        <v>0.5</v>
      </c>
      <c r="AA48" s="304" t="b">
        <f t="shared" si="2"/>
        <v>1</v>
      </c>
      <c r="AB48" s="304" t="b">
        <f t="shared" si="3"/>
        <v>1</v>
      </c>
      <c r="AC48" s="187"/>
    </row>
    <row r="49" spans="1:29" s="174" customFormat="1" ht="24">
      <c r="A49" s="246">
        <v>47</v>
      </c>
      <c r="B49" s="146" t="s">
        <v>589</v>
      </c>
      <c r="C49" s="147" t="s">
        <v>56</v>
      </c>
      <c r="D49" s="148" t="s">
        <v>101</v>
      </c>
      <c r="E49" s="148">
        <v>1820043</v>
      </c>
      <c r="F49" s="146" t="s">
        <v>357</v>
      </c>
      <c r="G49" s="41" t="s">
        <v>590</v>
      </c>
      <c r="H49" s="146" t="s">
        <v>51</v>
      </c>
      <c r="I49" s="229">
        <v>0.7734</v>
      </c>
      <c r="J49" s="149" t="s">
        <v>247</v>
      </c>
      <c r="K49" s="162">
        <v>1597447.45</v>
      </c>
      <c r="L49" s="163">
        <v>958468</v>
      </c>
      <c r="M49" s="164">
        <v>638979.45</v>
      </c>
      <c r="N49" s="150">
        <v>0.6</v>
      </c>
      <c r="O49" s="163">
        <v>0</v>
      </c>
      <c r="P49" s="163">
        <v>0</v>
      </c>
      <c r="Q49" s="162">
        <v>0</v>
      </c>
      <c r="R49" s="164">
        <v>958468</v>
      </c>
      <c r="S49" s="164">
        <v>0</v>
      </c>
      <c r="T49" s="164">
        <v>0</v>
      </c>
      <c r="U49" s="164">
        <v>0</v>
      </c>
      <c r="V49" s="164">
        <v>0</v>
      </c>
      <c r="W49" s="163">
        <v>0</v>
      </c>
      <c r="X49" s="163">
        <v>0</v>
      </c>
      <c r="Y49" s="302" t="b">
        <f t="shared" si="0"/>
        <v>1</v>
      </c>
      <c r="Z49" s="303">
        <f t="shared" si="1"/>
        <v>0.6</v>
      </c>
      <c r="AA49" s="304" t="b">
        <f t="shared" si="2"/>
        <v>1</v>
      </c>
      <c r="AB49" s="304" t="b">
        <f t="shared" si="3"/>
        <v>1</v>
      </c>
      <c r="AC49" s="189"/>
    </row>
    <row r="50" spans="1:29" s="174" customFormat="1" ht="36">
      <c r="A50" s="246">
        <v>48</v>
      </c>
      <c r="B50" s="146" t="s">
        <v>591</v>
      </c>
      <c r="C50" s="147" t="s">
        <v>56</v>
      </c>
      <c r="D50" s="148" t="s">
        <v>78</v>
      </c>
      <c r="E50" s="148">
        <v>1810042</v>
      </c>
      <c r="F50" s="146" t="s">
        <v>79</v>
      </c>
      <c r="G50" s="41" t="s">
        <v>592</v>
      </c>
      <c r="H50" s="146" t="s">
        <v>51</v>
      </c>
      <c r="I50" s="229">
        <v>2.685</v>
      </c>
      <c r="J50" s="149" t="s">
        <v>238</v>
      </c>
      <c r="K50" s="162">
        <v>3856036.88</v>
      </c>
      <c r="L50" s="163">
        <v>1928018</v>
      </c>
      <c r="M50" s="164">
        <v>1928018.88</v>
      </c>
      <c r="N50" s="150">
        <v>0.5</v>
      </c>
      <c r="O50" s="163">
        <v>0</v>
      </c>
      <c r="P50" s="163">
        <v>0</v>
      </c>
      <c r="Q50" s="162">
        <v>0</v>
      </c>
      <c r="R50" s="164">
        <v>1928018</v>
      </c>
      <c r="S50" s="164">
        <v>0</v>
      </c>
      <c r="T50" s="164">
        <v>0</v>
      </c>
      <c r="U50" s="164">
        <v>0</v>
      </c>
      <c r="V50" s="164">
        <v>0</v>
      </c>
      <c r="W50" s="163">
        <v>0</v>
      </c>
      <c r="X50" s="163">
        <v>0</v>
      </c>
      <c r="Y50" s="302" t="b">
        <f t="shared" si="0"/>
        <v>1</v>
      </c>
      <c r="Z50" s="303">
        <f t="shared" si="1"/>
        <v>0.5</v>
      </c>
      <c r="AA50" s="304" t="b">
        <f t="shared" si="2"/>
        <v>1</v>
      </c>
      <c r="AB50" s="304" t="b">
        <f t="shared" si="3"/>
        <v>1</v>
      </c>
      <c r="AC50" s="189"/>
    </row>
    <row r="51" spans="1:29" s="165" customFormat="1" ht="36">
      <c r="A51" s="244">
        <v>49</v>
      </c>
      <c r="B51" s="156" t="s">
        <v>595</v>
      </c>
      <c r="C51" s="157" t="s">
        <v>57</v>
      </c>
      <c r="D51" s="158" t="s">
        <v>596</v>
      </c>
      <c r="E51" s="158">
        <v>1810022</v>
      </c>
      <c r="F51" s="156" t="s">
        <v>79</v>
      </c>
      <c r="G51" s="152" t="s">
        <v>597</v>
      </c>
      <c r="H51" s="156" t="s">
        <v>51</v>
      </c>
      <c r="I51" s="227">
        <v>0.9424000000000001</v>
      </c>
      <c r="J51" s="159" t="s">
        <v>510</v>
      </c>
      <c r="K51" s="154">
        <v>1922494.73</v>
      </c>
      <c r="L51" s="163">
        <v>1153496</v>
      </c>
      <c r="M51" s="164">
        <v>768998.73</v>
      </c>
      <c r="N51" s="160">
        <v>0.6</v>
      </c>
      <c r="O51" s="163">
        <v>0</v>
      </c>
      <c r="P51" s="163">
        <v>0</v>
      </c>
      <c r="Q51" s="162">
        <v>0</v>
      </c>
      <c r="R51" s="161">
        <v>537763</v>
      </c>
      <c r="S51" s="161">
        <v>615733</v>
      </c>
      <c r="T51" s="161">
        <v>0</v>
      </c>
      <c r="U51" s="161">
        <v>0</v>
      </c>
      <c r="V51" s="161">
        <v>0</v>
      </c>
      <c r="W51" s="163">
        <v>0</v>
      </c>
      <c r="X51" s="163">
        <v>0</v>
      </c>
      <c r="Y51" s="302" t="b">
        <f t="shared" si="0"/>
        <v>1</v>
      </c>
      <c r="Z51" s="303">
        <f t="shared" si="1"/>
        <v>0.6</v>
      </c>
      <c r="AA51" s="304" t="b">
        <f t="shared" si="2"/>
        <v>1</v>
      </c>
      <c r="AB51" s="304" t="b">
        <f t="shared" si="3"/>
        <v>1</v>
      </c>
      <c r="AC51" s="187"/>
    </row>
    <row r="52" spans="1:28" ht="15">
      <c r="A52" s="372" t="s">
        <v>46</v>
      </c>
      <c r="B52" s="372"/>
      <c r="C52" s="372"/>
      <c r="D52" s="372"/>
      <c r="E52" s="372"/>
      <c r="F52" s="372"/>
      <c r="G52" s="372"/>
      <c r="H52" s="372"/>
      <c r="I52" s="279">
        <f>SUM(I3:I51)</f>
        <v>61.261720000000004</v>
      </c>
      <c r="J52" s="280" t="s">
        <v>14</v>
      </c>
      <c r="K52" s="42">
        <f>SUM(K3:K51)</f>
        <v>126431503.11000001</v>
      </c>
      <c r="L52" s="42">
        <f>SUM(L3:L51)</f>
        <v>68382557</v>
      </c>
      <c r="M52" s="42">
        <f>SUM(M3:M51)</f>
        <v>58048946.11000002</v>
      </c>
      <c r="N52" s="281" t="s">
        <v>14</v>
      </c>
      <c r="O52" s="320">
        <f aca="true" t="shared" si="4" ref="O52:X52">SUM(O3:O51)</f>
        <v>0</v>
      </c>
      <c r="P52" s="320">
        <f t="shared" si="4"/>
        <v>0</v>
      </c>
      <c r="Q52" s="320">
        <f t="shared" si="4"/>
        <v>0</v>
      </c>
      <c r="R52" s="320">
        <f t="shared" si="4"/>
        <v>44232410</v>
      </c>
      <c r="S52" s="320">
        <f t="shared" si="4"/>
        <v>13007885</v>
      </c>
      <c r="T52" s="320">
        <f t="shared" si="4"/>
        <v>8422959</v>
      </c>
      <c r="U52" s="320">
        <f t="shared" si="4"/>
        <v>2719303</v>
      </c>
      <c r="V52" s="320">
        <f t="shared" si="4"/>
        <v>0</v>
      </c>
      <c r="W52" s="320">
        <f t="shared" si="4"/>
        <v>0</v>
      </c>
      <c r="X52" s="320">
        <f t="shared" si="4"/>
        <v>0</v>
      </c>
      <c r="Y52" s="302"/>
      <c r="Z52" s="303"/>
      <c r="AA52" s="304"/>
      <c r="AB52" s="304"/>
    </row>
    <row r="53" spans="1:28" ht="15">
      <c r="A53" s="369" t="s">
        <v>40</v>
      </c>
      <c r="B53" s="370"/>
      <c r="C53" s="370"/>
      <c r="D53" s="370"/>
      <c r="E53" s="370"/>
      <c r="F53" s="370"/>
      <c r="G53" s="370"/>
      <c r="H53" s="371"/>
      <c r="I53" s="279">
        <f>SUMIF($C$3:$C$51,"N",I3:I51)</f>
        <v>48.590619999999994</v>
      </c>
      <c r="J53" s="280" t="s">
        <v>14</v>
      </c>
      <c r="K53" s="42">
        <f>SUMIF($C$3:$C$51,"N",K3:K51)</f>
        <v>65093307.98000001</v>
      </c>
      <c r="L53" s="42">
        <f>SUMIF($C$3:$C$51,"N",L3:L51)</f>
        <v>36363877</v>
      </c>
      <c r="M53" s="42">
        <f>SUMIF($C$3:$C$51,"N",M3:M51)</f>
        <v>28729430.98</v>
      </c>
      <c r="N53" s="281" t="s">
        <v>14</v>
      </c>
      <c r="O53" s="320">
        <f aca="true" t="shared" si="5" ref="O53:X53">SUMIF($C$3:$C$51,"N",O3:O51)</f>
        <v>0</v>
      </c>
      <c r="P53" s="320">
        <f t="shared" si="5"/>
        <v>0</v>
      </c>
      <c r="Q53" s="320">
        <f t="shared" si="5"/>
        <v>0</v>
      </c>
      <c r="R53" s="320">
        <f t="shared" si="5"/>
        <v>36363877</v>
      </c>
      <c r="S53" s="320">
        <f t="shared" si="5"/>
        <v>0</v>
      </c>
      <c r="T53" s="320">
        <f t="shared" si="5"/>
        <v>0</v>
      </c>
      <c r="U53" s="320">
        <f t="shared" si="5"/>
        <v>0</v>
      </c>
      <c r="V53" s="320">
        <f t="shared" si="5"/>
        <v>0</v>
      </c>
      <c r="W53" s="320">
        <f t="shared" si="5"/>
        <v>0</v>
      </c>
      <c r="X53" s="320">
        <f t="shared" si="5"/>
        <v>0</v>
      </c>
      <c r="Y53" s="302"/>
      <c r="Z53" s="303"/>
      <c r="AA53" s="304"/>
      <c r="AB53" s="304"/>
    </row>
    <row r="54" spans="1:28" ht="15">
      <c r="A54" s="373" t="s">
        <v>41</v>
      </c>
      <c r="B54" s="373"/>
      <c r="C54" s="373"/>
      <c r="D54" s="373"/>
      <c r="E54" s="373"/>
      <c r="F54" s="373"/>
      <c r="G54" s="373"/>
      <c r="H54" s="373"/>
      <c r="I54" s="282">
        <f>SUMIF($C$3:$C$51,"W",I3:I51)</f>
        <v>12.6711</v>
      </c>
      <c r="J54" s="283" t="s">
        <v>14</v>
      </c>
      <c r="K54" s="43">
        <f>SUMIF($C$3:$C$51,"W",K3:K51)</f>
        <v>61338195.129999995</v>
      </c>
      <c r="L54" s="43">
        <f>SUMIF($C$3:$C$51,"W",L3:L51)</f>
        <v>32018680</v>
      </c>
      <c r="M54" s="43">
        <f>SUMIF($C$3:$C$51,"W",M3:M51)</f>
        <v>29319515.130000003</v>
      </c>
      <c r="N54" s="284" t="s">
        <v>14</v>
      </c>
      <c r="O54" s="321">
        <f aca="true" t="shared" si="6" ref="O54:X54">SUMIF($C$3:$C$51,"W",O3:O51)</f>
        <v>0</v>
      </c>
      <c r="P54" s="321">
        <f t="shared" si="6"/>
        <v>0</v>
      </c>
      <c r="Q54" s="321">
        <f t="shared" si="6"/>
        <v>0</v>
      </c>
      <c r="R54" s="321">
        <f t="shared" si="6"/>
        <v>7868533</v>
      </c>
      <c r="S54" s="321">
        <f t="shared" si="6"/>
        <v>13007885</v>
      </c>
      <c r="T54" s="321">
        <f t="shared" si="6"/>
        <v>8422959</v>
      </c>
      <c r="U54" s="321">
        <f t="shared" si="6"/>
        <v>2719303</v>
      </c>
      <c r="V54" s="321">
        <f t="shared" si="6"/>
        <v>0</v>
      </c>
      <c r="W54" s="321">
        <f t="shared" si="6"/>
        <v>0</v>
      </c>
      <c r="X54" s="321">
        <f t="shared" si="6"/>
        <v>0</v>
      </c>
      <c r="Y54" s="302"/>
      <c r="Z54" s="303"/>
      <c r="AA54" s="304"/>
      <c r="AB54" s="304"/>
    </row>
    <row r="55" spans="1:28" ht="15">
      <c r="A55" s="248"/>
      <c r="AB55" s="241"/>
    </row>
    <row r="56" ht="15">
      <c r="A56" s="255" t="s">
        <v>25</v>
      </c>
    </row>
    <row r="57" ht="15">
      <c r="A57" s="256" t="s">
        <v>26</v>
      </c>
    </row>
    <row r="58" ht="15">
      <c r="A58" s="257" t="s">
        <v>29</v>
      </c>
    </row>
    <row r="59" ht="15">
      <c r="A59" s="255" t="s">
        <v>37</v>
      </c>
    </row>
    <row r="60" spans="1:28" s="30" customFormat="1" ht="15">
      <c r="A60" s="249"/>
      <c r="B60" s="151"/>
      <c r="C60" s="151"/>
      <c r="D60" s="151"/>
      <c r="E60" s="151"/>
      <c r="F60" s="151"/>
      <c r="H60" s="151"/>
      <c r="I60" s="151"/>
      <c r="J60" s="151"/>
      <c r="K60" s="29"/>
      <c r="N60" s="151"/>
      <c r="Q60" s="19"/>
      <c r="Y60" s="254"/>
      <c r="Z60" s="254"/>
      <c r="AA60" s="254"/>
      <c r="AB60" s="254"/>
    </row>
    <row r="61" spans="1:28" s="30" customFormat="1" ht="15">
      <c r="A61" s="223"/>
      <c r="B61" s="151"/>
      <c r="C61" s="151"/>
      <c r="D61" s="151"/>
      <c r="E61" s="151"/>
      <c r="F61" s="151"/>
      <c r="H61" s="151"/>
      <c r="I61" s="151"/>
      <c r="J61" s="151"/>
      <c r="K61" s="29"/>
      <c r="N61" s="151"/>
      <c r="Q61" s="29"/>
      <c r="S61" s="250"/>
      <c r="Y61" s="254"/>
      <c r="Z61" s="254"/>
      <c r="AA61" s="254"/>
      <c r="AB61" s="254"/>
    </row>
    <row r="62" spans="1:28" s="30" customFormat="1" ht="15">
      <c r="A62" s="223"/>
      <c r="B62" s="151"/>
      <c r="C62" s="151"/>
      <c r="D62" s="151"/>
      <c r="E62" s="151"/>
      <c r="F62" s="151"/>
      <c r="H62" s="151"/>
      <c r="I62" s="151"/>
      <c r="J62" s="151"/>
      <c r="K62" s="29"/>
      <c r="N62" s="151"/>
      <c r="Q62" s="29"/>
      <c r="Y62" s="254"/>
      <c r="Z62" s="254"/>
      <c r="AA62" s="254"/>
      <c r="AB62" s="254"/>
    </row>
    <row r="63" spans="1:28" s="30" customFormat="1" ht="15">
      <c r="A63" s="223"/>
      <c r="B63" s="151"/>
      <c r="C63" s="151"/>
      <c r="D63" s="151"/>
      <c r="E63" s="151"/>
      <c r="F63" s="151"/>
      <c r="H63" s="151"/>
      <c r="I63" s="151"/>
      <c r="J63" s="151"/>
      <c r="K63" s="29"/>
      <c r="N63" s="151"/>
      <c r="O63" s="251"/>
      <c r="P63" s="250"/>
      <c r="Q63" s="19"/>
      <c r="Y63" s="254"/>
      <c r="Z63" s="254"/>
      <c r="AA63" s="254"/>
      <c r="AB63" s="254"/>
    </row>
    <row r="64" spans="1:28" s="30" customFormat="1" ht="15">
      <c r="A64" s="223"/>
      <c r="B64" s="151"/>
      <c r="C64" s="151"/>
      <c r="D64" s="151"/>
      <c r="E64" s="151"/>
      <c r="F64" s="151"/>
      <c r="H64" s="151"/>
      <c r="I64" s="151"/>
      <c r="J64" s="151"/>
      <c r="K64" s="29"/>
      <c r="N64" s="151"/>
      <c r="Q64" s="29"/>
      <c r="Y64" s="254"/>
      <c r="Z64" s="254"/>
      <c r="AA64" s="254"/>
      <c r="AB64" s="254"/>
    </row>
    <row r="65" spans="1:28" s="30" customFormat="1" ht="15">
      <c r="A65" s="223"/>
      <c r="B65" s="151"/>
      <c r="C65" s="151"/>
      <c r="D65" s="151"/>
      <c r="E65" s="151"/>
      <c r="F65" s="151"/>
      <c r="H65" s="151"/>
      <c r="I65" s="151"/>
      <c r="J65" s="151"/>
      <c r="K65" s="29"/>
      <c r="N65" s="151"/>
      <c r="P65" s="225"/>
      <c r="Q65" s="235"/>
      <c r="R65" s="151"/>
      <c r="S65" s="225"/>
      <c r="Y65" s="254"/>
      <c r="Z65" s="254"/>
      <c r="AA65" s="254"/>
      <c r="AB65" s="254"/>
    </row>
    <row r="66" spans="1:28" s="30" customFormat="1" ht="15">
      <c r="A66" s="223"/>
      <c r="B66" s="151"/>
      <c r="C66" s="151"/>
      <c r="D66" s="151"/>
      <c r="E66" s="151"/>
      <c r="F66" s="151"/>
      <c r="H66" s="151"/>
      <c r="I66" s="151"/>
      <c r="J66" s="151"/>
      <c r="K66" s="29"/>
      <c r="N66" s="151"/>
      <c r="P66" s="178"/>
      <c r="Q66" s="179"/>
      <c r="R66" s="180"/>
      <c r="S66" s="178"/>
      <c r="Y66" s="254"/>
      <c r="Z66" s="254"/>
      <c r="AA66" s="254"/>
      <c r="AB66" s="254"/>
    </row>
    <row r="67" spans="1:28" s="30" customFormat="1" ht="15">
      <c r="A67" s="223"/>
      <c r="B67" s="151"/>
      <c r="C67" s="151"/>
      <c r="D67" s="151"/>
      <c r="E67" s="151"/>
      <c r="F67" s="151"/>
      <c r="H67" s="151"/>
      <c r="I67" s="151"/>
      <c r="J67" s="151"/>
      <c r="K67" s="29"/>
      <c r="N67" s="151"/>
      <c r="P67" s="225"/>
      <c r="Q67" s="252"/>
      <c r="R67" s="151"/>
      <c r="S67" s="225"/>
      <c r="Y67" s="254"/>
      <c r="Z67" s="254"/>
      <c r="AA67" s="254"/>
      <c r="AB67" s="254"/>
    </row>
    <row r="68" spans="1:28" s="30" customFormat="1" ht="15">
      <c r="A68" s="223"/>
      <c r="B68" s="151"/>
      <c r="C68" s="151"/>
      <c r="D68" s="151"/>
      <c r="E68" s="151"/>
      <c r="F68" s="151"/>
      <c r="H68" s="151"/>
      <c r="I68" s="151"/>
      <c r="J68" s="151"/>
      <c r="K68" s="29"/>
      <c r="N68" s="151"/>
      <c r="Q68" s="29"/>
      <c r="Y68" s="254"/>
      <c r="Z68" s="254"/>
      <c r="AA68" s="254"/>
      <c r="AB68" s="254"/>
    </row>
    <row r="69" spans="1:28" s="30" customFormat="1" ht="15">
      <c r="A69" s="223"/>
      <c r="B69" s="151"/>
      <c r="C69" s="151"/>
      <c r="D69" s="151"/>
      <c r="E69" s="151"/>
      <c r="F69" s="151"/>
      <c r="H69" s="151"/>
      <c r="I69" s="151"/>
      <c r="J69" s="151"/>
      <c r="K69" s="29"/>
      <c r="N69" s="151"/>
      <c r="Q69" s="29"/>
      <c r="Y69" s="254"/>
      <c r="Z69" s="254"/>
      <c r="AA69" s="254"/>
      <c r="AB69" s="254"/>
    </row>
    <row r="71" spans="1:28" s="30" customFormat="1" ht="15">
      <c r="A71" s="223"/>
      <c r="B71" s="151"/>
      <c r="C71" s="151"/>
      <c r="D71" s="151"/>
      <c r="E71" s="151"/>
      <c r="F71" s="151"/>
      <c r="H71" s="151"/>
      <c r="I71" s="151"/>
      <c r="J71" s="151"/>
      <c r="K71" s="29"/>
      <c r="L71" s="178"/>
      <c r="M71" s="253"/>
      <c r="N71" s="151"/>
      <c r="Q71" s="29"/>
      <c r="R71" s="250"/>
      <c r="Y71" s="254"/>
      <c r="Z71" s="254"/>
      <c r="AA71" s="254"/>
      <c r="AB71" s="254"/>
    </row>
    <row r="72" spans="1:28" s="30" customFormat="1" ht="15">
      <c r="A72" s="223"/>
      <c r="B72" s="151"/>
      <c r="C72" s="151"/>
      <c r="D72" s="151"/>
      <c r="E72" s="151"/>
      <c r="F72" s="151"/>
      <c r="H72" s="151"/>
      <c r="I72" s="151"/>
      <c r="J72" s="151"/>
      <c r="K72" s="29"/>
      <c r="N72" s="151"/>
      <c r="Q72" s="29"/>
      <c r="Y72" s="254"/>
      <c r="Z72" s="254"/>
      <c r="AA72" s="254"/>
      <c r="AB72" s="254"/>
    </row>
    <row r="73" spans="1:28" s="30" customFormat="1" ht="15">
      <c r="A73" s="223"/>
      <c r="B73" s="151"/>
      <c r="C73" s="151"/>
      <c r="D73" s="151"/>
      <c r="E73" s="151"/>
      <c r="F73" s="151"/>
      <c r="H73" s="151"/>
      <c r="I73" s="151"/>
      <c r="J73" s="151"/>
      <c r="K73" s="29"/>
      <c r="N73" s="151"/>
      <c r="Q73" s="29"/>
      <c r="Y73" s="254"/>
      <c r="Z73" s="254"/>
      <c r="AA73" s="254"/>
      <c r="AB73" s="254"/>
    </row>
    <row r="74" spans="1:28" s="30" customFormat="1" ht="15">
      <c r="A74" s="223"/>
      <c r="B74" s="151"/>
      <c r="C74" s="151"/>
      <c r="D74" s="151"/>
      <c r="E74" s="151"/>
      <c r="F74" s="151"/>
      <c r="H74" s="151"/>
      <c r="I74" s="151"/>
      <c r="J74" s="151"/>
      <c r="K74" s="29"/>
      <c r="N74" s="151"/>
      <c r="Q74" s="29"/>
      <c r="R74" s="250"/>
      <c r="Y74" s="254"/>
      <c r="Z74" s="254"/>
      <c r="AA74" s="254"/>
      <c r="AB74" s="254"/>
    </row>
    <row r="75" spans="1:28" s="30" customFormat="1" ht="15">
      <c r="A75" s="223"/>
      <c r="B75" s="151"/>
      <c r="C75" s="151"/>
      <c r="D75" s="151"/>
      <c r="E75" s="151"/>
      <c r="F75" s="151"/>
      <c r="H75" s="151"/>
      <c r="I75" s="151"/>
      <c r="J75" s="151"/>
      <c r="K75" s="29"/>
      <c r="N75" s="151"/>
      <c r="Q75" s="29"/>
      <c r="Y75" s="254"/>
      <c r="Z75" s="254"/>
      <c r="AA75" s="254"/>
      <c r="AB75" s="254"/>
    </row>
    <row r="76" spans="1:28" s="30" customFormat="1" ht="15">
      <c r="A76" s="223"/>
      <c r="B76" s="151"/>
      <c r="C76" s="151"/>
      <c r="D76" s="151"/>
      <c r="E76" s="151"/>
      <c r="F76" s="151"/>
      <c r="H76" s="151"/>
      <c r="I76" s="151"/>
      <c r="J76" s="151"/>
      <c r="K76" s="29"/>
      <c r="N76" s="151"/>
      <c r="Q76" s="29"/>
      <c r="Y76" s="254"/>
      <c r="Z76" s="254"/>
      <c r="AA76" s="254"/>
      <c r="AB76" s="254"/>
    </row>
    <row r="77" spans="1:28" s="30" customFormat="1" ht="15">
      <c r="A77" s="223"/>
      <c r="B77" s="151"/>
      <c r="C77" s="151"/>
      <c r="D77" s="151"/>
      <c r="E77" s="151"/>
      <c r="F77" s="151"/>
      <c r="H77" s="151"/>
      <c r="I77" s="151"/>
      <c r="J77" s="151"/>
      <c r="K77" s="29"/>
      <c r="N77" s="151"/>
      <c r="Q77" s="29"/>
      <c r="Y77" s="254"/>
      <c r="Z77" s="254"/>
      <c r="AA77" s="254"/>
      <c r="AB77" s="254"/>
    </row>
    <row r="78" spans="1:28" s="30" customFormat="1" ht="15">
      <c r="A78" s="223"/>
      <c r="B78" s="151"/>
      <c r="C78" s="151"/>
      <c r="D78" s="151"/>
      <c r="E78" s="151"/>
      <c r="F78" s="151"/>
      <c r="H78" s="151"/>
      <c r="I78" s="151"/>
      <c r="J78" s="151"/>
      <c r="K78" s="29"/>
      <c r="N78" s="151"/>
      <c r="Q78" s="29"/>
      <c r="Y78" s="254"/>
      <c r="Z78" s="254"/>
      <c r="AA78" s="254"/>
      <c r="AB78" s="254"/>
    </row>
    <row r="79" spans="1:28" s="30" customFormat="1" ht="15">
      <c r="A79" s="223"/>
      <c r="B79" s="151"/>
      <c r="C79" s="151"/>
      <c r="D79" s="151"/>
      <c r="E79" s="151"/>
      <c r="F79" s="151"/>
      <c r="H79" s="151"/>
      <c r="I79" s="151"/>
      <c r="J79" s="151"/>
      <c r="K79" s="29"/>
      <c r="N79" s="151"/>
      <c r="Q79" s="29"/>
      <c r="Y79" s="254"/>
      <c r="Z79" s="254"/>
      <c r="AA79" s="254"/>
      <c r="AB79" s="254"/>
    </row>
    <row r="80" spans="1:28" s="30" customFormat="1" ht="15">
      <c r="A80" s="223"/>
      <c r="B80" s="151"/>
      <c r="C80" s="151"/>
      <c r="D80" s="151"/>
      <c r="E80" s="151"/>
      <c r="F80" s="151"/>
      <c r="H80" s="151"/>
      <c r="I80" s="151"/>
      <c r="J80" s="151"/>
      <c r="K80" s="29"/>
      <c r="N80" s="151"/>
      <c r="Q80" s="29"/>
      <c r="Y80" s="254"/>
      <c r="Z80" s="254"/>
      <c r="AA80" s="254"/>
      <c r="AB80" s="254"/>
    </row>
    <row r="81" spans="1:28" s="30" customFormat="1" ht="15">
      <c r="A81" s="223"/>
      <c r="B81" s="151"/>
      <c r="C81" s="151"/>
      <c r="D81" s="151"/>
      <c r="E81" s="151"/>
      <c r="F81" s="151"/>
      <c r="H81" s="151"/>
      <c r="I81" s="151"/>
      <c r="J81" s="151"/>
      <c r="K81" s="29"/>
      <c r="N81" s="151"/>
      <c r="Q81" s="29"/>
      <c r="Y81" s="254"/>
      <c r="Z81" s="254"/>
      <c r="AA81" s="254"/>
      <c r="AB81" s="254"/>
    </row>
    <row r="82" spans="1:28" s="30" customFormat="1" ht="15">
      <c r="A82" s="223"/>
      <c r="B82" s="151"/>
      <c r="C82" s="151"/>
      <c r="D82" s="151"/>
      <c r="E82" s="151"/>
      <c r="F82" s="151"/>
      <c r="H82" s="151"/>
      <c r="I82" s="151"/>
      <c r="J82" s="151"/>
      <c r="K82" s="29"/>
      <c r="N82" s="151"/>
      <c r="Q82" s="29"/>
      <c r="Y82" s="254"/>
      <c r="Z82" s="254"/>
      <c r="AA82" s="254"/>
      <c r="AB82" s="254"/>
    </row>
  </sheetData>
  <sheetProtection/>
  <mergeCells count="18">
    <mergeCell ref="O1:X1"/>
    <mergeCell ref="M1:M2"/>
    <mergeCell ref="N1:N2"/>
    <mergeCell ref="A52:H52"/>
    <mergeCell ref="I1:I2"/>
    <mergeCell ref="J1:J2"/>
    <mergeCell ref="K1:K2"/>
    <mergeCell ref="L1:L2"/>
    <mergeCell ref="A1:A2"/>
    <mergeCell ref="B1:B2"/>
    <mergeCell ref="A54:H54"/>
    <mergeCell ref="E1:E2"/>
    <mergeCell ref="C1:C2"/>
    <mergeCell ref="F1:F2"/>
    <mergeCell ref="G1:G2"/>
    <mergeCell ref="H1:H2"/>
    <mergeCell ref="A53:H53"/>
    <mergeCell ref="D1:D2"/>
  </mergeCells>
  <conditionalFormatting sqref="AB55 Y3:AB54">
    <cfRule type="cellIs" priority="40" dxfId="33" operator="equal">
      <formula>FALSE</formula>
    </cfRule>
  </conditionalFormatting>
  <conditionalFormatting sqref="Y3:AA54">
    <cfRule type="containsText" priority="33" dxfId="33" operator="containsText" text="fałsz">
      <formula>NOT(ISERROR(SEARCH("fałsz",Y3)))</formula>
    </cfRule>
  </conditionalFormatting>
  <dataValidations count="3">
    <dataValidation type="list" allowBlank="1" showInputMessage="1" showErrorMessage="1" sqref="H3 H7:H8 G12 G4 G14:G51 G9:G10">
      <formula1>"B,P,R"</formula1>
    </dataValidation>
    <dataValidation type="list" allowBlank="1" showInputMessage="1" showErrorMessage="1" sqref="C9 C3:C6 C23:C30 C12:C21">
      <formula1>"N,K,W"</formula1>
    </dataValidation>
    <dataValidation type="list" allowBlank="1" showInputMessage="1" showErrorMessage="1" sqref="C10:C11 C22 C31:C51 C7:C8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9" r:id="rId1"/>
  <headerFooter>
    <oddHeader>&amp;LWojewództwo p&amp;K000000odkarpackie&amp;K01+000 - zadania gminne lista rezerwowa</oddHeader>
    <oddFooter>&amp;CStrona &amp;P z &amp;N</oddFooter>
  </headerFooter>
  <ignoredErrors>
    <ignoredError sqref="B15:B19 B27 B24:B26 B21:B22 B46:B50 B20 B51 B28:B4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Michał Mielniczuk</cp:lastModifiedBy>
  <cp:lastPrinted>2021-12-20T11:48:25Z</cp:lastPrinted>
  <dcterms:created xsi:type="dcterms:W3CDTF">2019-02-25T10:53:14Z</dcterms:created>
  <dcterms:modified xsi:type="dcterms:W3CDTF">2022-02-17T07:25:02Z</dcterms:modified>
  <cp:category/>
  <cp:version/>
  <cp:contentType/>
  <cp:contentStatus/>
</cp:coreProperties>
</file>