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32A35668-5F26-49E3-8762-8D97EEE455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 l="1"/>
  <c r="A86" i="7" l="1"/>
  <c r="A67" i="7"/>
  <c r="A30" i="7"/>
  <c r="A1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<sst xmlns="http://schemas.openxmlformats.org/spreadsheetml/2006/main" count="93" uniqueCount="79">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</sst>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23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activeCell="A2" sqref="A2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3" t="str">
        <f>CONCATENATE("Informacja z wykonania budżetów jednostek samorządu terytorialnego za ",$C$94," ",$B$95," roku")</f>
        <v>Informacja z wykonania budżetów jednostek samorządu terytorialnego za III Kwartały 2023 roku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7" ht="13.5" customHeight="1" x14ac:dyDescent="0.2">
      <c r="B5" s="1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0"/>
      <c r="O5" s="10"/>
      <c r="P5" s="10"/>
      <c r="Q5" s="10"/>
    </row>
    <row r="6" spans="1:17" ht="13.5" customHeight="1" x14ac:dyDescent="0.2">
      <c r="A6" s="69" t="s">
        <v>0</v>
      </c>
      <c r="B6" s="34" t="s">
        <v>61</v>
      </c>
      <c r="C6" s="29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64</v>
      </c>
      <c r="P6" s="30"/>
      <c r="Q6" s="31"/>
    </row>
    <row r="7" spans="1:17" ht="13.5" customHeight="1" x14ac:dyDescent="0.2">
      <c r="A7" s="70"/>
      <c r="B7" s="35"/>
      <c r="C7" s="36" t="s">
        <v>62</v>
      </c>
      <c r="D7" s="36" t="s">
        <v>73</v>
      </c>
      <c r="E7" s="36" t="s">
        <v>66</v>
      </c>
      <c r="F7" s="36" t="s">
        <v>67</v>
      </c>
      <c r="G7" s="36" t="s">
        <v>27</v>
      </c>
      <c r="H7" s="36" t="s">
        <v>28</v>
      </c>
      <c r="I7" s="66" t="s">
        <v>63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32" t="s">
        <v>21</v>
      </c>
      <c r="P7" s="32" t="s">
        <v>22</v>
      </c>
      <c r="Q7" s="32" t="s">
        <v>23</v>
      </c>
    </row>
    <row r="8" spans="1:17" ht="13.5" customHeight="1" x14ac:dyDescent="0.2">
      <c r="A8" s="70"/>
      <c r="B8" s="35"/>
      <c r="C8" s="32"/>
      <c r="D8" s="32"/>
      <c r="E8" s="32"/>
      <c r="F8" s="32"/>
      <c r="G8" s="32"/>
      <c r="H8" s="32"/>
      <c r="I8" s="66"/>
      <c r="J8" s="32"/>
      <c r="K8" s="32"/>
      <c r="L8" s="32"/>
      <c r="M8" s="32"/>
      <c r="N8" s="35"/>
      <c r="O8" s="32"/>
      <c r="P8" s="32"/>
      <c r="Q8" s="32"/>
    </row>
    <row r="9" spans="1:17" ht="13.5" customHeight="1" x14ac:dyDescent="0.2">
      <c r="A9" s="70"/>
      <c r="B9" s="35"/>
      <c r="C9" s="32"/>
      <c r="D9" s="32"/>
      <c r="E9" s="32"/>
      <c r="F9" s="32"/>
      <c r="G9" s="32"/>
      <c r="H9" s="32"/>
      <c r="I9" s="66"/>
      <c r="J9" s="32"/>
      <c r="K9" s="32"/>
      <c r="L9" s="32"/>
      <c r="M9" s="32"/>
      <c r="N9" s="35"/>
      <c r="O9" s="32"/>
      <c r="P9" s="32"/>
      <c r="Q9" s="32"/>
    </row>
    <row r="10" spans="1:17" ht="11.25" customHeight="1" x14ac:dyDescent="0.2">
      <c r="A10" s="70"/>
      <c r="B10" s="35"/>
      <c r="C10" s="32"/>
      <c r="D10" s="32"/>
      <c r="E10" s="32"/>
      <c r="F10" s="32"/>
      <c r="G10" s="32"/>
      <c r="H10" s="32"/>
      <c r="I10" s="66"/>
      <c r="J10" s="32"/>
      <c r="K10" s="32"/>
      <c r="L10" s="32"/>
      <c r="M10" s="32"/>
      <c r="N10" s="35"/>
      <c r="O10" s="32"/>
      <c r="P10" s="32"/>
      <c r="Q10" s="32"/>
    </row>
    <row r="11" spans="1:17" ht="27.75" customHeight="1" x14ac:dyDescent="0.2">
      <c r="A11" s="71"/>
      <c r="B11" s="36"/>
      <c r="C11" s="32"/>
      <c r="D11" s="32"/>
      <c r="E11" s="32"/>
      <c r="F11" s="32"/>
      <c r="G11" s="32"/>
      <c r="H11" s="32"/>
      <c r="I11" s="67"/>
      <c r="J11" s="32"/>
      <c r="K11" s="32"/>
      <c r="L11" s="32"/>
      <c r="M11" s="32"/>
      <c r="N11" s="36"/>
      <c r="O11" s="32"/>
      <c r="P11" s="32"/>
      <c r="Q11" s="32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91022106334.85</f>
        <v>91022106334.850006</v>
      </c>
      <c r="C13" s="21">
        <f>67530957418.06</f>
        <v>67530957418.059998</v>
      </c>
      <c r="D13" s="21">
        <f>3215316920.69</f>
        <v>3215316920.6900001</v>
      </c>
      <c r="E13" s="21">
        <f>595383397.21</f>
        <v>595383397.21000004</v>
      </c>
      <c r="F13" s="21">
        <f>688941888.13</f>
        <v>688941888.13</v>
      </c>
      <c r="G13" s="21">
        <f>1929840679.54</f>
        <v>1929840679.54</v>
      </c>
      <c r="H13" s="21">
        <f>1150955.81</f>
        <v>1150955.81</v>
      </c>
      <c r="I13" s="21">
        <f>0</f>
        <v>0</v>
      </c>
      <c r="J13" s="21">
        <f>59442087384.01</f>
        <v>59442087384.010002</v>
      </c>
      <c r="K13" s="21">
        <f>2949333546.27</f>
        <v>2949333546.27</v>
      </c>
      <c r="L13" s="21">
        <f>1875982908.49</f>
        <v>1875982908.49</v>
      </c>
      <c r="M13" s="21">
        <f>34267050.88</f>
        <v>34267050.880000003</v>
      </c>
      <c r="N13" s="21">
        <f>13969607.72</f>
        <v>13969607.720000001</v>
      </c>
      <c r="O13" s="21">
        <f>23491148916.79</f>
        <v>23491148916.790001</v>
      </c>
      <c r="P13" s="21">
        <f>23237403521.41</f>
        <v>23237403521.41</v>
      </c>
      <c r="Q13" s="21">
        <f>253745395.38</f>
        <v>253745395.38</v>
      </c>
    </row>
    <row r="14" spans="1:17" ht="41.25" customHeight="1" x14ac:dyDescent="0.2">
      <c r="A14" s="19" t="s">
        <v>75</v>
      </c>
      <c r="B14" s="21">
        <f>5989197756.19</f>
        <v>5989197756.1899996</v>
      </c>
      <c r="C14" s="21">
        <f>5989197756.19</f>
        <v>5989197756.1899996</v>
      </c>
      <c r="D14" s="21">
        <f>6839656.19</f>
        <v>6839656.1900000004</v>
      </c>
      <c r="E14" s="21">
        <f>0</f>
        <v>0</v>
      </c>
      <c r="F14" s="21">
        <f>137511.9</f>
        <v>137511.9</v>
      </c>
      <c r="G14" s="21">
        <f>6702144.29</f>
        <v>6702144.29</v>
      </c>
      <c r="H14" s="21">
        <f>0</f>
        <v>0</v>
      </c>
      <c r="I14" s="21">
        <f>0</f>
        <v>0</v>
      </c>
      <c r="J14" s="21">
        <f>5769458100</f>
        <v>5769458100</v>
      </c>
      <c r="K14" s="21">
        <f>212900000</f>
        <v>212900000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49270000</f>
        <v>49270000</v>
      </c>
      <c r="C15" s="22">
        <f>49270000</f>
        <v>49270000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37070000</f>
        <v>37070000</v>
      </c>
      <c r="K15" s="22">
        <f>12200000</f>
        <v>12200000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5939927756.19</f>
        <v>5939927756.1899996</v>
      </c>
      <c r="C16" s="22">
        <f>5939927756.19</f>
        <v>5939927756.1899996</v>
      </c>
      <c r="D16" s="22">
        <f>6839656.19</f>
        <v>6839656.1900000004</v>
      </c>
      <c r="E16" s="22">
        <f>0</f>
        <v>0</v>
      </c>
      <c r="F16" s="22">
        <f>137511.9</f>
        <v>137511.9</v>
      </c>
      <c r="G16" s="22">
        <f>6702144.29</f>
        <v>6702144.29</v>
      </c>
      <c r="H16" s="22">
        <f>0</f>
        <v>0</v>
      </c>
      <c r="I16" s="22">
        <f>0</f>
        <v>0</v>
      </c>
      <c r="J16" s="22">
        <f>5732388100</f>
        <v>5732388100</v>
      </c>
      <c r="K16" s="22">
        <f>200700000</f>
        <v>200700000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84936406269.04</f>
        <v>84936406269.039993</v>
      </c>
      <c r="C17" s="21">
        <f>61445264782.54</f>
        <v>61445264782.540001</v>
      </c>
      <c r="D17" s="21">
        <f>3186356119.06</f>
        <v>3186356119.0599999</v>
      </c>
      <c r="E17" s="21">
        <f>590094869.42</f>
        <v>590094869.41999996</v>
      </c>
      <c r="F17" s="21">
        <f>687344151.8</f>
        <v>687344151.79999995</v>
      </c>
      <c r="G17" s="21">
        <f>1908917097.84</f>
        <v>1908917097.8399999</v>
      </c>
      <c r="H17" s="21">
        <f>0</f>
        <v>0</v>
      </c>
      <c r="I17" s="21">
        <f>0</f>
        <v>0</v>
      </c>
      <c r="J17" s="21">
        <f>53672510049.84</f>
        <v>53672510049.839996</v>
      </c>
      <c r="K17" s="21">
        <f>2736428463.6</f>
        <v>2736428463.5999999</v>
      </c>
      <c r="L17" s="21">
        <f>1831339607.63</f>
        <v>1831339607.6300001</v>
      </c>
      <c r="M17" s="21">
        <f>9339680.63</f>
        <v>9339680.6300000008</v>
      </c>
      <c r="N17" s="21">
        <f>9290861.78</f>
        <v>9290861.7799999993</v>
      </c>
      <c r="O17" s="21">
        <f>23491141486.5</f>
        <v>23491141486.5</v>
      </c>
      <c r="P17" s="21">
        <f>23237399784.41</f>
        <v>23237399784.41</v>
      </c>
      <c r="Q17" s="21">
        <f>253741702.09</f>
        <v>253741702.09</v>
      </c>
    </row>
    <row r="18" spans="1:17" ht="22.5" x14ac:dyDescent="0.2">
      <c r="A18" s="16" t="s">
        <v>48</v>
      </c>
      <c r="B18" s="22">
        <f>601529599.38</f>
        <v>601529599.38</v>
      </c>
      <c r="C18" s="22">
        <f>601529599.38</f>
        <v>601529599.38</v>
      </c>
      <c r="D18" s="22">
        <f>23653854.5</f>
        <v>23653854.5</v>
      </c>
      <c r="E18" s="22">
        <f>14332818.95</f>
        <v>14332818.949999999</v>
      </c>
      <c r="F18" s="22">
        <f>1000630.02</f>
        <v>1000630.02</v>
      </c>
      <c r="G18" s="22">
        <f>8320405.53</f>
        <v>8320405.5300000003</v>
      </c>
      <c r="H18" s="22">
        <f>0</f>
        <v>0</v>
      </c>
      <c r="I18" s="22">
        <f>0</f>
        <v>0</v>
      </c>
      <c r="J18" s="22">
        <f>569502524.71</f>
        <v>569502524.71000004</v>
      </c>
      <c r="K18" s="22">
        <f>2347565.3</f>
        <v>2347565.2999999998</v>
      </c>
      <c r="L18" s="22">
        <f>5928679.05</f>
        <v>5928679.0499999998</v>
      </c>
      <c r="M18" s="22">
        <f>96975.82</f>
        <v>96975.82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84334876669.66</f>
        <v>84334876669.660004</v>
      </c>
      <c r="C19" s="22">
        <f>60843735183.16</f>
        <v>60843735183.160004</v>
      </c>
      <c r="D19" s="22">
        <f>3162702264.56</f>
        <v>3162702264.5599999</v>
      </c>
      <c r="E19" s="22">
        <f>575762050.47</f>
        <v>575762050.47000003</v>
      </c>
      <c r="F19" s="22">
        <f>686343521.78</f>
        <v>686343521.77999997</v>
      </c>
      <c r="G19" s="22">
        <f>1900596692.31</f>
        <v>1900596692.3099999</v>
      </c>
      <c r="H19" s="22">
        <f>0</f>
        <v>0</v>
      </c>
      <c r="I19" s="22">
        <f>0</f>
        <v>0</v>
      </c>
      <c r="J19" s="22">
        <f>53103007525.13</f>
        <v>53103007525.129997</v>
      </c>
      <c r="K19" s="22">
        <f>2734080898.3</f>
        <v>2734080898.3000002</v>
      </c>
      <c r="L19" s="22">
        <f>1825410928.58</f>
        <v>1825410928.5799999</v>
      </c>
      <c r="M19" s="22">
        <f>9242704.81</f>
        <v>9242704.8100000005</v>
      </c>
      <c r="N19" s="22">
        <f>9290861.78</f>
        <v>9290861.7799999993</v>
      </c>
      <c r="O19" s="22">
        <f>23491141486.5</f>
        <v>23491141486.5</v>
      </c>
      <c r="P19" s="22">
        <f>23237399784.41</f>
        <v>23237399784.41</v>
      </c>
      <c r="Q19" s="22">
        <f>253741702.09</f>
        <v>253741702.09</v>
      </c>
    </row>
    <row r="20" spans="1:17" ht="24.75" customHeight="1" x14ac:dyDescent="0.2">
      <c r="A20" s="26" t="s">
        <v>50</v>
      </c>
      <c r="B20" s="27">
        <f>0</f>
        <v>0</v>
      </c>
      <c r="C20" s="27">
        <f>0</f>
        <v>0</v>
      </c>
      <c r="D20" s="27">
        <f>0</f>
        <v>0</v>
      </c>
      <c r="E20" s="27">
        <f>0</f>
        <v>0</v>
      </c>
      <c r="F20" s="27">
        <f>0</f>
        <v>0</v>
      </c>
      <c r="G20" s="27">
        <f>0</f>
        <v>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96502309.62</f>
        <v>96502309.620000005</v>
      </c>
      <c r="C21" s="21">
        <f>96494879.33</f>
        <v>96494879.329999998</v>
      </c>
      <c r="D21" s="21">
        <f>22121145.44</f>
        <v>22121145.440000001</v>
      </c>
      <c r="E21" s="21">
        <f>5288527.79</f>
        <v>5288527.79</v>
      </c>
      <c r="F21" s="21">
        <f>1460224.43</f>
        <v>1460224.43</v>
      </c>
      <c r="G21" s="21">
        <f>14221437.41</f>
        <v>14221437.41</v>
      </c>
      <c r="H21" s="21">
        <f>1150955.81</f>
        <v>1150955.81</v>
      </c>
      <c r="I21" s="21">
        <f>0</f>
        <v>0</v>
      </c>
      <c r="J21" s="21">
        <f>119234.17</f>
        <v>119234.17</v>
      </c>
      <c r="K21" s="21">
        <f>5082.67</f>
        <v>5082.67</v>
      </c>
      <c r="L21" s="21">
        <f>44643300.86</f>
        <v>44643300.859999999</v>
      </c>
      <c r="M21" s="21">
        <f>24927370.25</f>
        <v>24927370.25</v>
      </c>
      <c r="N21" s="21">
        <f>4678745.94</f>
        <v>4678745.9400000004</v>
      </c>
      <c r="O21" s="21">
        <f>7430.29</f>
        <v>7430.29</v>
      </c>
      <c r="P21" s="21">
        <f>3737</f>
        <v>3737</v>
      </c>
      <c r="Q21" s="21">
        <f>3693.29</f>
        <v>3693.29</v>
      </c>
    </row>
    <row r="22" spans="1:17" ht="33" customHeight="1" x14ac:dyDescent="0.2">
      <c r="A22" s="17" t="s">
        <v>51</v>
      </c>
      <c r="B22" s="22">
        <f>52621250.55</f>
        <v>52621250.549999997</v>
      </c>
      <c r="C22" s="22">
        <f>52617513.55</f>
        <v>52617513.549999997</v>
      </c>
      <c r="D22" s="22">
        <f>3335947.21</f>
        <v>3335947.21</v>
      </c>
      <c r="E22" s="22">
        <f>7622.82</f>
        <v>7622.82</v>
      </c>
      <c r="F22" s="22">
        <f>1331385.97</f>
        <v>1331385.97</v>
      </c>
      <c r="G22" s="22">
        <f>1996938.42</f>
        <v>1996938.42</v>
      </c>
      <c r="H22" s="22">
        <f>0</f>
        <v>0</v>
      </c>
      <c r="I22" s="22">
        <f>0</f>
        <v>0</v>
      </c>
      <c r="J22" s="22">
        <f>0</f>
        <v>0</v>
      </c>
      <c r="K22" s="22">
        <f>2600.95</f>
        <v>2600.9499999999998</v>
      </c>
      <c r="L22" s="22">
        <f>26557690.19</f>
        <v>26557690.190000001</v>
      </c>
      <c r="M22" s="22">
        <f>19511397.7</f>
        <v>19511397.699999999</v>
      </c>
      <c r="N22" s="22">
        <f>3209877.5</f>
        <v>3209877.5</v>
      </c>
      <c r="O22" s="22">
        <f>3737</f>
        <v>3737</v>
      </c>
      <c r="P22" s="22">
        <f>3737</f>
        <v>3737</v>
      </c>
      <c r="Q22" s="22">
        <f>0</f>
        <v>0</v>
      </c>
    </row>
    <row r="23" spans="1:17" ht="23.25" customHeight="1" x14ac:dyDescent="0.2">
      <c r="A23" s="17" t="s">
        <v>52</v>
      </c>
      <c r="B23" s="22">
        <f>43881059.07</f>
        <v>43881059.07</v>
      </c>
      <c r="C23" s="22">
        <f>43877365.78</f>
        <v>43877365.780000001</v>
      </c>
      <c r="D23" s="22">
        <f>18785198.23</f>
        <v>18785198.23</v>
      </c>
      <c r="E23" s="22">
        <f>5280904.97</f>
        <v>5280904.97</v>
      </c>
      <c r="F23" s="22">
        <f>128838.46</f>
        <v>128838.46</v>
      </c>
      <c r="G23" s="22">
        <f>12224498.99</f>
        <v>12224498.99</v>
      </c>
      <c r="H23" s="22">
        <f>1150955.81</f>
        <v>1150955.81</v>
      </c>
      <c r="I23" s="22">
        <f>0</f>
        <v>0</v>
      </c>
      <c r="J23" s="22">
        <f>119234.17</f>
        <v>119234.17</v>
      </c>
      <c r="K23" s="22">
        <f>2481.72</f>
        <v>2481.7199999999998</v>
      </c>
      <c r="L23" s="22">
        <f>18085610.67</f>
        <v>18085610.670000002</v>
      </c>
      <c r="M23" s="22">
        <f>5415972.55</f>
        <v>5415972.5499999998</v>
      </c>
      <c r="N23" s="22">
        <f>1468868.44</f>
        <v>1468868.44</v>
      </c>
      <c r="O23" s="22">
        <f>3693.29</f>
        <v>3693.29</v>
      </c>
      <c r="P23" s="22">
        <f>0</f>
        <v>0</v>
      </c>
      <c r="Q23" s="22">
        <f>3693.29</f>
        <v>3693.29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3" t="str">
        <f>CONCATENATE("Informacja z wykonania budżetów jednostek samorządu terytorialnego za ",$C$94," ",$B$95," roku")</f>
        <v>Informacja z wykonania budżetów jednostek samorządu terytorialnego za III Kwartały 2023 roku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7" ht="13.5" customHeight="1" x14ac:dyDescent="0.2">
      <c r="A32" s="43" t="s">
        <v>11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4" spans="1:17" ht="13.5" customHeight="1" x14ac:dyDescent="0.2">
      <c r="A34" s="69" t="s">
        <v>0</v>
      </c>
      <c r="B34" s="34" t="s">
        <v>12</v>
      </c>
      <c r="C34" s="72" t="s">
        <v>14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2" t="s">
        <v>24</v>
      </c>
      <c r="P34" s="73"/>
      <c r="Q34" s="74"/>
    </row>
    <row r="35" spans="1:17" ht="13.5" customHeight="1" x14ac:dyDescent="0.2">
      <c r="A35" s="70"/>
      <c r="B35" s="35"/>
      <c r="C35" s="35" t="s">
        <v>13</v>
      </c>
      <c r="D35" s="32" t="s">
        <v>15</v>
      </c>
      <c r="E35" s="32" t="s">
        <v>25</v>
      </c>
      <c r="F35" s="32" t="s">
        <v>26</v>
      </c>
      <c r="G35" s="32" t="s">
        <v>70</v>
      </c>
      <c r="H35" s="32" t="s">
        <v>28</v>
      </c>
      <c r="I35" s="32" t="s">
        <v>1</v>
      </c>
      <c r="J35" s="32" t="s">
        <v>16</v>
      </c>
      <c r="K35" s="32" t="s">
        <v>17</v>
      </c>
      <c r="L35" s="32" t="s">
        <v>18</v>
      </c>
      <c r="M35" s="32" t="s">
        <v>19</v>
      </c>
      <c r="N35" s="37" t="s">
        <v>20</v>
      </c>
      <c r="O35" s="32" t="s">
        <v>21</v>
      </c>
      <c r="P35" s="32" t="s">
        <v>22</v>
      </c>
      <c r="Q35" s="34" t="s">
        <v>23</v>
      </c>
    </row>
    <row r="36" spans="1:17" ht="13.5" customHeight="1" x14ac:dyDescent="0.2">
      <c r="A36" s="70"/>
      <c r="B36" s="35"/>
      <c r="C36" s="3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7"/>
      <c r="O36" s="32"/>
      <c r="P36" s="32"/>
      <c r="Q36" s="35"/>
    </row>
    <row r="37" spans="1:17" ht="11.25" customHeight="1" x14ac:dyDescent="0.2">
      <c r="A37" s="70"/>
      <c r="B37" s="35"/>
      <c r="C37" s="35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2"/>
      <c r="P37" s="32"/>
      <c r="Q37" s="35"/>
    </row>
    <row r="38" spans="1:17" ht="32.25" customHeight="1" x14ac:dyDescent="0.2">
      <c r="A38" s="71"/>
      <c r="B38" s="36"/>
      <c r="C38" s="3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/>
      <c r="O38" s="32"/>
      <c r="P38" s="32"/>
      <c r="Q38" s="36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10195086.01</f>
        <v>10195086.01</v>
      </c>
      <c r="C40" s="23">
        <f>10195086.01</f>
        <v>10195086.01</v>
      </c>
      <c r="D40" s="23">
        <f>358000</f>
        <v>358000</v>
      </c>
      <c r="E40" s="23">
        <f>50000</f>
        <v>50000</v>
      </c>
      <c r="F40" s="23">
        <f>0</f>
        <v>0</v>
      </c>
      <c r="G40" s="23">
        <f>308000</f>
        <v>308000</v>
      </c>
      <c r="H40" s="23">
        <f>0</f>
        <v>0</v>
      </c>
      <c r="I40" s="23">
        <f>0</f>
        <v>0</v>
      </c>
      <c r="J40" s="23">
        <f>129004.46</f>
        <v>129004.46</v>
      </c>
      <c r="K40" s="23">
        <f>25150</f>
        <v>25150</v>
      </c>
      <c r="L40" s="23">
        <f>2012633.03</f>
        <v>2012633.03</v>
      </c>
      <c r="M40" s="23">
        <f>7192311.42</f>
        <v>7192311.4199999999</v>
      </c>
      <c r="N40" s="23">
        <f>477987.1</f>
        <v>477987.1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477307.15</f>
        <v>477307.15</v>
      </c>
      <c r="C41" s="24">
        <f>477307.15</f>
        <v>477307.15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6160.06</f>
        <v>6160.06</v>
      </c>
      <c r="K41" s="24">
        <f>0</f>
        <v>0</v>
      </c>
      <c r="L41" s="24">
        <f>153894.98</f>
        <v>153894.98000000001</v>
      </c>
      <c r="M41" s="24">
        <f>4377.11</f>
        <v>4377.1099999999997</v>
      </c>
      <c r="N41" s="24">
        <f>312875</f>
        <v>312875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9717778.86</f>
        <v>9717778.8599999994</v>
      </c>
      <c r="C42" s="24">
        <f>9717778.86</f>
        <v>9717778.8599999994</v>
      </c>
      <c r="D42" s="24">
        <f>358000</f>
        <v>358000</v>
      </c>
      <c r="E42" s="24">
        <f>50000</f>
        <v>50000</v>
      </c>
      <c r="F42" s="24">
        <f>0</f>
        <v>0</v>
      </c>
      <c r="G42" s="24">
        <f>308000</f>
        <v>308000</v>
      </c>
      <c r="H42" s="24">
        <f>0</f>
        <v>0</v>
      </c>
      <c r="I42" s="24">
        <f>0</f>
        <v>0</v>
      </c>
      <c r="J42" s="24">
        <f>122844.4</f>
        <v>122844.4</v>
      </c>
      <c r="K42" s="24">
        <f>25150</f>
        <v>25150</v>
      </c>
      <c r="L42" s="24">
        <f>1858738.05</f>
        <v>1858738.05</v>
      </c>
      <c r="M42" s="24">
        <f>7187934.31</f>
        <v>7187934.3099999996</v>
      </c>
      <c r="N42" s="24">
        <f>165112.1</f>
        <v>165112.1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1533888201.75</f>
        <v>1533888201.75</v>
      </c>
      <c r="C43" s="23">
        <f>1533862318.09</f>
        <v>1533862318.0899999</v>
      </c>
      <c r="D43" s="23">
        <f>763961149.61</f>
        <v>763961149.61000001</v>
      </c>
      <c r="E43" s="23">
        <f>207631.58</f>
        <v>207631.58</v>
      </c>
      <c r="F43" s="23">
        <f>5316758.18</f>
        <v>5316758.18</v>
      </c>
      <c r="G43" s="23">
        <f>748133871.85</f>
        <v>748133871.85000002</v>
      </c>
      <c r="H43" s="23">
        <f>10302888</f>
        <v>10302888</v>
      </c>
      <c r="I43" s="23">
        <f>0</f>
        <v>0</v>
      </c>
      <c r="J43" s="23">
        <f>52844.07</f>
        <v>52844.07</v>
      </c>
      <c r="K43" s="23">
        <f>1039987</f>
        <v>1039987</v>
      </c>
      <c r="L43" s="23">
        <f>427886206.32</f>
        <v>427886206.31999999</v>
      </c>
      <c r="M43" s="23">
        <f>287343871.64</f>
        <v>287343871.63999999</v>
      </c>
      <c r="N43" s="23">
        <f>53578259.45</f>
        <v>53578259.450000003</v>
      </c>
      <c r="O43" s="23">
        <f>25883.66</f>
        <v>25883.66</v>
      </c>
      <c r="P43" s="23">
        <f>3883.66</f>
        <v>3883.66</v>
      </c>
      <c r="Q43" s="23">
        <f>22000</f>
        <v>22000</v>
      </c>
    </row>
    <row r="44" spans="1:17" ht="32.25" customHeight="1" x14ac:dyDescent="0.2">
      <c r="A44" s="18" t="s">
        <v>31</v>
      </c>
      <c r="B44" s="24">
        <f>217004304.3</f>
        <v>217004304.30000001</v>
      </c>
      <c r="C44" s="24">
        <f>216982304.3</f>
        <v>216982304.30000001</v>
      </c>
      <c r="D44" s="24">
        <f>99924645.29</f>
        <v>99924645.290000007</v>
      </c>
      <c r="E44" s="24">
        <f>2934.67</f>
        <v>2934.67</v>
      </c>
      <c r="F44" s="24">
        <f>3450000</f>
        <v>3450000</v>
      </c>
      <c r="G44" s="24">
        <f>86171710.62</f>
        <v>86171710.620000005</v>
      </c>
      <c r="H44" s="24">
        <f>10300000</f>
        <v>10300000</v>
      </c>
      <c r="I44" s="24">
        <f>0</f>
        <v>0</v>
      </c>
      <c r="J44" s="24">
        <f>0</f>
        <v>0</v>
      </c>
      <c r="K44" s="24">
        <f>25560</f>
        <v>25560</v>
      </c>
      <c r="L44" s="24">
        <f>68224063.94</f>
        <v>68224063.939999998</v>
      </c>
      <c r="M44" s="24">
        <f>23857038.55</f>
        <v>23857038.550000001</v>
      </c>
      <c r="N44" s="24">
        <f>24950996.52</f>
        <v>24950996.52</v>
      </c>
      <c r="O44" s="24">
        <f>22000</f>
        <v>22000</v>
      </c>
      <c r="P44" s="24">
        <f>0</f>
        <v>0</v>
      </c>
      <c r="Q44" s="24">
        <f>22000</f>
        <v>22000</v>
      </c>
    </row>
    <row r="45" spans="1:17" ht="32.25" customHeight="1" x14ac:dyDescent="0.2">
      <c r="A45" s="18" t="s">
        <v>32</v>
      </c>
      <c r="B45" s="24">
        <f>1316883897.45</f>
        <v>1316883897.45</v>
      </c>
      <c r="C45" s="24">
        <f>1316880013.79</f>
        <v>1316880013.79</v>
      </c>
      <c r="D45" s="24">
        <f>664036504.32</f>
        <v>664036504.32000005</v>
      </c>
      <c r="E45" s="24">
        <f>204696.91</f>
        <v>204696.91</v>
      </c>
      <c r="F45" s="24">
        <f>1866758.18</f>
        <v>1866758.18</v>
      </c>
      <c r="G45" s="24">
        <f>661962161.23</f>
        <v>661962161.23000002</v>
      </c>
      <c r="H45" s="24">
        <f>2888</f>
        <v>2888</v>
      </c>
      <c r="I45" s="24">
        <f>0</f>
        <v>0</v>
      </c>
      <c r="J45" s="24">
        <f>52844.07</f>
        <v>52844.07</v>
      </c>
      <c r="K45" s="24">
        <f>1014427</f>
        <v>1014427</v>
      </c>
      <c r="L45" s="24">
        <f>359662142.38</f>
        <v>359662142.38</v>
      </c>
      <c r="M45" s="24">
        <f>263486833.09</f>
        <v>263486833.09</v>
      </c>
      <c r="N45" s="24">
        <f>28627262.93</f>
        <v>28627262.93</v>
      </c>
      <c r="O45" s="24">
        <f>3883.66</f>
        <v>3883.66</v>
      </c>
      <c r="P45" s="24">
        <f>3883.66</f>
        <v>3883.66</v>
      </c>
      <c r="Q45" s="24">
        <f>0</f>
        <v>0</v>
      </c>
    </row>
    <row r="46" spans="1:17" ht="35.25" customHeight="1" x14ac:dyDescent="0.2">
      <c r="A46" s="28" t="s">
        <v>42</v>
      </c>
      <c r="B46" s="23">
        <f>54129027535.7</f>
        <v>54129027535.699997</v>
      </c>
      <c r="C46" s="23">
        <f>54128846244.01</f>
        <v>54128846244.010002</v>
      </c>
      <c r="D46" s="23">
        <f>28114647.46</f>
        <v>28114647.460000001</v>
      </c>
      <c r="E46" s="23">
        <f>478417.3</f>
        <v>478417.3</v>
      </c>
      <c r="F46" s="23">
        <f>60404.1</f>
        <v>60404.1</v>
      </c>
      <c r="G46" s="23">
        <f>27575826.06</f>
        <v>27575826.059999999</v>
      </c>
      <c r="H46" s="23">
        <f>0</f>
        <v>0</v>
      </c>
      <c r="I46" s="23">
        <f>13665781.78</f>
        <v>13665781.779999999</v>
      </c>
      <c r="J46" s="23">
        <f>54070008709.22</f>
        <v>54070008709.220001</v>
      </c>
      <c r="K46" s="23">
        <f>345430.46</f>
        <v>345430.46</v>
      </c>
      <c r="L46" s="23">
        <f>16447170.41</f>
        <v>16447170.41</v>
      </c>
      <c r="M46" s="23">
        <f>169572.65</f>
        <v>169572.65</v>
      </c>
      <c r="N46" s="23">
        <f>94932.03</f>
        <v>94932.03</v>
      </c>
      <c r="O46" s="23">
        <f>181291.69</f>
        <v>181291.69</v>
      </c>
      <c r="P46" s="23">
        <f>181291.69</f>
        <v>181291.69</v>
      </c>
      <c r="Q46" s="23">
        <f>0</f>
        <v>0</v>
      </c>
    </row>
    <row r="47" spans="1:17" ht="28.5" customHeight="1" x14ac:dyDescent="0.2">
      <c r="A47" s="18" t="s">
        <v>33</v>
      </c>
      <c r="B47" s="24">
        <f>20686281.27</f>
        <v>20686281.27</v>
      </c>
      <c r="C47" s="24">
        <f>20686281.27</f>
        <v>20686281.27</v>
      </c>
      <c r="D47" s="24">
        <f>20686281.27</f>
        <v>20686281.27</v>
      </c>
      <c r="E47" s="24">
        <f>0</f>
        <v>0</v>
      </c>
      <c r="F47" s="24">
        <f>0</f>
        <v>0</v>
      </c>
      <c r="G47" s="24">
        <f>20686281.27</f>
        <v>20686281.27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36868832971.63</f>
        <v>36868832971.629997</v>
      </c>
      <c r="C48" s="24">
        <f>36868832971.63</f>
        <v>36868832971.629997</v>
      </c>
      <c r="D48" s="24">
        <f>6833693.45</f>
        <v>6833693.4500000002</v>
      </c>
      <c r="E48" s="24">
        <f>63246.78</f>
        <v>63246.78</v>
      </c>
      <c r="F48" s="24">
        <f>6743</f>
        <v>6743</v>
      </c>
      <c r="G48" s="24">
        <f>6763703.67</f>
        <v>6763703.6699999999</v>
      </c>
      <c r="H48" s="24">
        <f>0</f>
        <v>0</v>
      </c>
      <c r="I48" s="24">
        <f>13581997.25</f>
        <v>13581997.25</v>
      </c>
      <c r="J48" s="24">
        <f>36833108511.7</f>
        <v>36833108511.699997</v>
      </c>
      <c r="K48" s="24">
        <f>334493.09</f>
        <v>334493.09000000003</v>
      </c>
      <c r="L48" s="24">
        <f>14871529.39</f>
        <v>14871529.390000001</v>
      </c>
      <c r="M48" s="24">
        <f>8463.63</f>
        <v>8463.6299999999992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17239508282.8</f>
        <v>17239508282.799999</v>
      </c>
      <c r="C49" s="24">
        <f>17239326991.11</f>
        <v>17239326991.110001</v>
      </c>
      <c r="D49" s="24">
        <f>594672.74</f>
        <v>594672.74</v>
      </c>
      <c r="E49" s="24">
        <f>415170.52</f>
        <v>415170.52</v>
      </c>
      <c r="F49" s="24">
        <f>53661.1</f>
        <v>53661.1</v>
      </c>
      <c r="G49" s="24">
        <f>125841.12</f>
        <v>125841.12</v>
      </c>
      <c r="H49" s="24">
        <f>0</f>
        <v>0</v>
      </c>
      <c r="I49" s="24">
        <f>83784.53</f>
        <v>83784.53</v>
      </c>
      <c r="J49" s="24">
        <f>17236900197.52</f>
        <v>17236900197.52</v>
      </c>
      <c r="K49" s="24">
        <f>10937.37</f>
        <v>10937.37</v>
      </c>
      <c r="L49" s="24">
        <f>1575641.02</f>
        <v>1575641.02</v>
      </c>
      <c r="M49" s="24">
        <f>161109.02</f>
        <v>161109.01999999999</v>
      </c>
      <c r="N49" s="24">
        <f>648.91</f>
        <v>648.91</v>
      </c>
      <c r="O49" s="24">
        <f>181291.69</f>
        <v>181291.69</v>
      </c>
      <c r="P49" s="24">
        <f>181291.69</f>
        <v>181291.69</v>
      </c>
      <c r="Q49" s="24">
        <f>0</f>
        <v>0</v>
      </c>
    </row>
    <row r="50" spans="1:17" ht="35.25" customHeight="1" x14ac:dyDescent="0.2">
      <c r="A50" s="28" t="s">
        <v>43</v>
      </c>
      <c r="B50" s="23">
        <f>28562610935.03</f>
        <v>28562610935.029999</v>
      </c>
      <c r="C50" s="23">
        <f>28506496759.69</f>
        <v>28506496759.689999</v>
      </c>
      <c r="D50" s="23">
        <f>528915458.21</f>
        <v>528915458.20999998</v>
      </c>
      <c r="E50" s="23">
        <f>136295199.63</f>
        <v>136295199.63</v>
      </c>
      <c r="F50" s="23">
        <f>16910063.48</f>
        <v>16910063.48</v>
      </c>
      <c r="G50" s="23">
        <f>375078398.43</f>
        <v>375078398.43000001</v>
      </c>
      <c r="H50" s="23">
        <f>631796.67</f>
        <v>631796.67000000004</v>
      </c>
      <c r="I50" s="23">
        <f>663.17</f>
        <v>663.17</v>
      </c>
      <c r="J50" s="23">
        <f>8407679.33</f>
        <v>8407679.3300000001</v>
      </c>
      <c r="K50" s="23">
        <f>33353281.06</f>
        <v>33353281.059999999</v>
      </c>
      <c r="L50" s="23">
        <f>7044279848.25</f>
        <v>7044279848.25</v>
      </c>
      <c r="M50" s="23">
        <f>20674171904.91</f>
        <v>20674171904.91</v>
      </c>
      <c r="N50" s="23">
        <f>217367924.76</f>
        <v>217367924.75999999</v>
      </c>
      <c r="O50" s="23">
        <f>56114175.34</f>
        <v>56114175.340000004</v>
      </c>
      <c r="P50" s="23">
        <f>34022791.66</f>
        <v>34022791.659999996</v>
      </c>
      <c r="Q50" s="23">
        <f>22091383.68</f>
        <v>22091383.68</v>
      </c>
    </row>
    <row r="51" spans="1:17" ht="28.5" customHeight="1" x14ac:dyDescent="0.2">
      <c r="A51" s="18" t="s">
        <v>36</v>
      </c>
      <c r="B51" s="24">
        <f>6815227777.13</f>
        <v>6815227777.1300001</v>
      </c>
      <c r="C51" s="24">
        <f>6811719253.65</f>
        <v>6811719253.6499996</v>
      </c>
      <c r="D51" s="24">
        <f>81248101.85</f>
        <v>81248101.849999994</v>
      </c>
      <c r="E51" s="24">
        <f>3034444.62</f>
        <v>3034444.62</v>
      </c>
      <c r="F51" s="24">
        <f>3415168.64</f>
        <v>3415168.64</v>
      </c>
      <c r="G51" s="24">
        <f>74631545.74</f>
        <v>74631545.739999995</v>
      </c>
      <c r="H51" s="24">
        <f>166942.85</f>
        <v>166942.85</v>
      </c>
      <c r="I51" s="24">
        <f>0</f>
        <v>0</v>
      </c>
      <c r="J51" s="24">
        <f>1391327.49</f>
        <v>1391327.49</v>
      </c>
      <c r="K51" s="24">
        <f>840388.69</f>
        <v>840388.69</v>
      </c>
      <c r="L51" s="24">
        <f>1068826970.37</f>
        <v>1068826970.37</v>
      </c>
      <c r="M51" s="24">
        <f>5584646717.12</f>
        <v>5584646717.1199999</v>
      </c>
      <c r="N51" s="24">
        <f>74765748.13</f>
        <v>74765748.129999995</v>
      </c>
      <c r="O51" s="24">
        <f>3508523.48</f>
        <v>3508523.48</v>
      </c>
      <c r="P51" s="24">
        <f>1229428.84</f>
        <v>1229428.8400000001</v>
      </c>
      <c r="Q51" s="24">
        <f>2279094.64</f>
        <v>2279094.64</v>
      </c>
    </row>
    <row r="52" spans="1:17" ht="28.5" customHeight="1" x14ac:dyDescent="0.2">
      <c r="A52" s="18" t="s">
        <v>37</v>
      </c>
      <c r="B52" s="24">
        <f>21747383157.9</f>
        <v>21747383157.900002</v>
      </c>
      <c r="C52" s="24">
        <f>21694777506.04</f>
        <v>21694777506.040001</v>
      </c>
      <c r="D52" s="24">
        <f>447667356.36</f>
        <v>447667356.36000001</v>
      </c>
      <c r="E52" s="24">
        <f>133260755.01</f>
        <v>133260755.01000001</v>
      </c>
      <c r="F52" s="24">
        <f>13494894.84</f>
        <v>13494894.84</v>
      </c>
      <c r="G52" s="24">
        <f>300446852.69</f>
        <v>300446852.69</v>
      </c>
      <c r="H52" s="24">
        <f>464853.82</f>
        <v>464853.82</v>
      </c>
      <c r="I52" s="24">
        <f>663.17</f>
        <v>663.17</v>
      </c>
      <c r="J52" s="24">
        <f>7016351.84</f>
        <v>7016351.8399999999</v>
      </c>
      <c r="K52" s="24">
        <f>32512892.37</f>
        <v>32512892.370000001</v>
      </c>
      <c r="L52" s="24">
        <f>5975452877.88</f>
        <v>5975452877.8800001</v>
      </c>
      <c r="M52" s="24">
        <f>15089525187.79</f>
        <v>15089525187.790001</v>
      </c>
      <c r="N52" s="24">
        <f>142602176.63</f>
        <v>142602176.63</v>
      </c>
      <c r="O52" s="24">
        <f>52605651.86</f>
        <v>52605651.859999999</v>
      </c>
      <c r="P52" s="24">
        <f>32793362.82</f>
        <v>32793362.82</v>
      </c>
      <c r="Q52" s="24">
        <f>19812289.04</f>
        <v>19812289.039999999</v>
      </c>
    </row>
    <row r="53" spans="1:17" ht="35.25" customHeight="1" x14ac:dyDescent="0.2">
      <c r="A53" s="28" t="s">
        <v>44</v>
      </c>
      <c r="B53" s="23">
        <f>17709763349.54</f>
        <v>17709763349.540001</v>
      </c>
      <c r="C53" s="23">
        <f>17684278858.29</f>
        <v>17684278858.290001</v>
      </c>
      <c r="D53" s="23">
        <f>1672415017.55</f>
        <v>1672415017.55</v>
      </c>
      <c r="E53" s="23">
        <f>692813126.2</f>
        <v>692813126.20000005</v>
      </c>
      <c r="F53" s="23">
        <f>75073505.9</f>
        <v>75073505.900000006</v>
      </c>
      <c r="G53" s="23">
        <f>885671154.86</f>
        <v>885671154.86000001</v>
      </c>
      <c r="H53" s="23">
        <f>18857230.59</f>
        <v>18857230.59</v>
      </c>
      <c r="I53" s="23">
        <f>1375017.7</f>
        <v>1375017.7</v>
      </c>
      <c r="J53" s="23">
        <f>15250158.67</f>
        <v>15250158.67</v>
      </c>
      <c r="K53" s="23">
        <f>62074810.97</f>
        <v>62074810.969999999</v>
      </c>
      <c r="L53" s="23">
        <f>10041757150.11</f>
        <v>10041757150.110001</v>
      </c>
      <c r="M53" s="23">
        <f>5602246402.62</f>
        <v>5602246402.6199999</v>
      </c>
      <c r="N53" s="23">
        <f>289160300.67</f>
        <v>289160300.67000002</v>
      </c>
      <c r="O53" s="23">
        <f>25484491.25</f>
        <v>25484491.25</v>
      </c>
      <c r="P53" s="23">
        <f>12205512.72</f>
        <v>12205512.720000001</v>
      </c>
      <c r="Q53" s="23">
        <f>13278978.53</f>
        <v>13278978.529999999</v>
      </c>
    </row>
    <row r="54" spans="1:17" ht="28.5" customHeight="1" x14ac:dyDescent="0.2">
      <c r="A54" s="18" t="s">
        <v>38</v>
      </c>
      <c r="B54" s="24">
        <f>1616265509.31</f>
        <v>1616265509.3099999</v>
      </c>
      <c r="C54" s="24">
        <f>1615387947.54</f>
        <v>1615387947.54</v>
      </c>
      <c r="D54" s="24">
        <f>133745223.21</f>
        <v>133745223.20999999</v>
      </c>
      <c r="E54" s="24">
        <f>6977182.51</f>
        <v>6977182.5099999998</v>
      </c>
      <c r="F54" s="24">
        <f>3832366.11</f>
        <v>3832366.11</v>
      </c>
      <c r="G54" s="24">
        <f>118879931.99</f>
        <v>118879931.98999999</v>
      </c>
      <c r="H54" s="24">
        <f>4055742.6</f>
        <v>4055742.6</v>
      </c>
      <c r="I54" s="24">
        <f>0</f>
        <v>0</v>
      </c>
      <c r="J54" s="24">
        <f>713617.16</f>
        <v>713617.16</v>
      </c>
      <c r="K54" s="24">
        <f>1579683.27</f>
        <v>1579683.27</v>
      </c>
      <c r="L54" s="24">
        <f>665754372.49</f>
        <v>665754372.49000001</v>
      </c>
      <c r="M54" s="24">
        <f>787918595.25</f>
        <v>787918595.25</v>
      </c>
      <c r="N54" s="24">
        <f>25676456.16</f>
        <v>25676456.16</v>
      </c>
      <c r="O54" s="24">
        <f>877561.77</f>
        <v>877561.77</v>
      </c>
      <c r="P54" s="24">
        <f>166829.15</f>
        <v>166829.15</v>
      </c>
      <c r="Q54" s="24">
        <f>710732.62</f>
        <v>710732.62</v>
      </c>
    </row>
    <row r="55" spans="1:17" ht="47.25" customHeight="1" x14ac:dyDescent="0.2">
      <c r="A55" s="18" t="s">
        <v>78</v>
      </c>
      <c r="B55" s="24">
        <f>7932238540.8</f>
        <v>7932238540.8000002</v>
      </c>
      <c r="C55" s="24">
        <f>7923300547.62</f>
        <v>7923300547.6199999</v>
      </c>
      <c r="D55" s="24">
        <f>385299058.28</f>
        <v>385299058.27999997</v>
      </c>
      <c r="E55" s="24">
        <f>168163249.88</f>
        <v>168163249.88</v>
      </c>
      <c r="F55" s="24">
        <f>45647001.79</f>
        <v>45647001.789999999</v>
      </c>
      <c r="G55" s="24">
        <f>167828931.94</f>
        <v>167828931.94</v>
      </c>
      <c r="H55" s="24">
        <f>3659874.67</f>
        <v>3659874.67</v>
      </c>
      <c r="I55" s="24">
        <f>1344046.53</f>
        <v>1344046.53</v>
      </c>
      <c r="J55" s="24">
        <f>10944818.26</f>
        <v>10944818.26</v>
      </c>
      <c r="K55" s="24">
        <f>15322549.25</f>
        <v>15322549.25</v>
      </c>
      <c r="L55" s="24">
        <f>5395316503.88</f>
        <v>5395316503.8800001</v>
      </c>
      <c r="M55" s="24">
        <f>2071665997.37</f>
        <v>2071665997.3699999</v>
      </c>
      <c r="N55" s="24">
        <f>43407574.05</f>
        <v>43407574.049999997</v>
      </c>
      <c r="O55" s="24">
        <f>8937993.18</f>
        <v>8937993.1799999997</v>
      </c>
      <c r="P55" s="24">
        <f>7859268.13</f>
        <v>7859268.1299999999</v>
      </c>
      <c r="Q55" s="24">
        <f>1078725.05</f>
        <v>1078725.05</v>
      </c>
    </row>
    <row r="56" spans="1:17" ht="35.25" customHeight="1" x14ac:dyDescent="0.2">
      <c r="A56" s="18" t="s">
        <v>39</v>
      </c>
      <c r="B56" s="24">
        <f>8161259299.43</f>
        <v>8161259299.4300003</v>
      </c>
      <c r="C56" s="24">
        <f>8145590363.13</f>
        <v>8145590363.1300001</v>
      </c>
      <c r="D56" s="24">
        <f>1153370736.06</f>
        <v>1153370736.0599999</v>
      </c>
      <c r="E56" s="24">
        <f>517672693.81</f>
        <v>517672693.81</v>
      </c>
      <c r="F56" s="24">
        <f>25594138</f>
        <v>25594138</v>
      </c>
      <c r="G56" s="24">
        <f>598962290.93</f>
        <v>598962290.92999995</v>
      </c>
      <c r="H56" s="24">
        <f>11141613.32</f>
        <v>11141613.32</v>
      </c>
      <c r="I56" s="24">
        <f>30971.17</f>
        <v>30971.17</v>
      </c>
      <c r="J56" s="24">
        <f>3591723.25</f>
        <v>3591723.25</v>
      </c>
      <c r="K56" s="24">
        <f>45172578.45</f>
        <v>45172578.450000003</v>
      </c>
      <c r="L56" s="24">
        <f>3980686273.74</f>
        <v>3980686273.7399998</v>
      </c>
      <c r="M56" s="24">
        <f>2742661810</f>
        <v>2742661810</v>
      </c>
      <c r="N56" s="24">
        <f>220076270.46</f>
        <v>220076270.46000001</v>
      </c>
      <c r="O56" s="24">
        <f>15668936.3</f>
        <v>15668936.300000001</v>
      </c>
      <c r="P56" s="24">
        <f>4179415.44</f>
        <v>4179415.44</v>
      </c>
      <c r="Q56" s="24">
        <f>11489520.86</f>
        <v>11489520.859999999</v>
      </c>
    </row>
    <row r="67" spans="1:13" ht="75" customHeight="1" x14ac:dyDescent="0.2">
      <c r="A67" s="33" t="str">
        <f>CONCATENATE("Informacja z wykonania budżetów jednostek samorządu terytorialnego za ",$C$94," ",$B$95," roku")</f>
        <v>Informacja z wykonania budżetów jednostek samorządu terytorialnego za III Kwartały 2023 roku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43" t="s">
        <v>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1" spans="1:13" ht="13.5" customHeight="1" x14ac:dyDescent="0.2">
      <c r="B71" s="46" t="s">
        <v>0</v>
      </c>
      <c r="C71" s="47"/>
      <c r="D71" s="47"/>
      <c r="E71" s="48"/>
      <c r="F71" s="65" t="s">
        <v>68</v>
      </c>
      <c r="G71" s="29" t="s">
        <v>74</v>
      </c>
      <c r="H71" s="30"/>
      <c r="I71" s="30"/>
      <c r="J71" s="30"/>
      <c r="K71" s="30"/>
      <c r="L71" s="31"/>
    </row>
    <row r="72" spans="1:13" ht="13.5" customHeight="1" x14ac:dyDescent="0.2">
      <c r="B72" s="49"/>
      <c r="C72" s="50"/>
      <c r="D72" s="50"/>
      <c r="E72" s="51"/>
      <c r="F72" s="66"/>
      <c r="G72" s="32" t="s">
        <v>69</v>
      </c>
      <c r="H72" s="32" t="s">
        <v>66</v>
      </c>
      <c r="I72" s="32" t="s">
        <v>67</v>
      </c>
      <c r="J72" s="32" t="s">
        <v>70</v>
      </c>
      <c r="K72" s="32" t="s">
        <v>71</v>
      </c>
      <c r="L72" s="37" t="s">
        <v>72</v>
      </c>
    </row>
    <row r="73" spans="1:13" ht="13.5" customHeight="1" x14ac:dyDescent="0.2">
      <c r="B73" s="49"/>
      <c r="C73" s="50"/>
      <c r="D73" s="50"/>
      <c r="E73" s="51"/>
      <c r="F73" s="66"/>
      <c r="G73" s="32"/>
      <c r="H73" s="32"/>
      <c r="I73" s="32"/>
      <c r="J73" s="32"/>
      <c r="K73" s="32"/>
      <c r="L73" s="37"/>
    </row>
    <row r="74" spans="1:13" ht="11.25" customHeight="1" x14ac:dyDescent="0.2">
      <c r="B74" s="49"/>
      <c r="C74" s="50"/>
      <c r="D74" s="50"/>
      <c r="E74" s="51"/>
      <c r="F74" s="66"/>
      <c r="G74" s="32"/>
      <c r="H74" s="32"/>
      <c r="I74" s="32"/>
      <c r="J74" s="32"/>
      <c r="K74" s="32"/>
      <c r="L74" s="37"/>
    </row>
    <row r="75" spans="1:13" ht="20.25" customHeight="1" x14ac:dyDescent="0.2">
      <c r="B75" s="52"/>
      <c r="C75" s="53"/>
      <c r="D75" s="53"/>
      <c r="E75" s="54"/>
      <c r="F75" s="67"/>
      <c r="G75" s="32"/>
      <c r="H75" s="32"/>
      <c r="I75" s="32"/>
      <c r="J75" s="32"/>
      <c r="K75" s="32"/>
      <c r="L75" s="37"/>
    </row>
    <row r="76" spans="1:13" ht="13.5" customHeight="1" x14ac:dyDescent="0.2">
      <c r="B76" s="32">
        <v>1</v>
      </c>
      <c r="C76" s="32"/>
      <c r="D76" s="32"/>
      <c r="E76" s="32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4429072838.05</f>
        <v>4429072838.0500002</v>
      </c>
      <c r="G77" s="22">
        <f>1060826845.2</f>
        <v>1060826845.2</v>
      </c>
      <c r="H77" s="22">
        <f>56765297.27</f>
        <v>56765297.270000003</v>
      </c>
      <c r="I77" s="22">
        <f>267174310</f>
        <v>267174310</v>
      </c>
      <c r="J77" s="22">
        <f>703644670.93</f>
        <v>703644670.92999995</v>
      </c>
      <c r="K77" s="22">
        <f>33242567</f>
        <v>33242567</v>
      </c>
      <c r="L77" s="22">
        <f>3368245992.85</f>
        <v>3368245992.8499999</v>
      </c>
    </row>
    <row r="78" spans="1:13" ht="33.75" customHeight="1" x14ac:dyDescent="0.2">
      <c r="B78" s="38" t="s">
        <v>54</v>
      </c>
      <c r="C78" s="39"/>
      <c r="D78" s="39"/>
      <c r="E78" s="40"/>
      <c r="F78" s="25">
        <f>822510.14</f>
        <v>822510.14</v>
      </c>
      <c r="G78" s="25">
        <f>821594</f>
        <v>821594</v>
      </c>
      <c r="H78" s="25">
        <f>0</f>
        <v>0</v>
      </c>
      <c r="I78" s="25">
        <f>0</f>
        <v>0</v>
      </c>
      <c r="J78" s="25">
        <f>821594</f>
        <v>821594</v>
      </c>
      <c r="K78" s="25">
        <f>0</f>
        <v>0</v>
      </c>
      <c r="L78" s="25">
        <f>916.14</f>
        <v>916.14</v>
      </c>
    </row>
    <row r="79" spans="1:13" ht="33.75" customHeight="1" x14ac:dyDescent="0.2">
      <c r="B79" s="38" t="s">
        <v>55</v>
      </c>
      <c r="C79" s="39"/>
      <c r="D79" s="39"/>
      <c r="E79" s="40"/>
      <c r="F79" s="25">
        <f>214037110.68</f>
        <v>214037110.68000001</v>
      </c>
      <c r="G79" s="25">
        <f>59717704.19</f>
        <v>59717704.189999998</v>
      </c>
      <c r="H79" s="25">
        <f>532575</f>
        <v>532575</v>
      </c>
      <c r="I79" s="25">
        <f>5933963.31</f>
        <v>5933963.3099999996</v>
      </c>
      <c r="J79" s="25">
        <f>53141579.84</f>
        <v>53141579.840000004</v>
      </c>
      <c r="K79" s="25">
        <f>109586.04</f>
        <v>109586.04</v>
      </c>
      <c r="L79" s="25">
        <f>154319406.49</f>
        <v>154319406.49000001</v>
      </c>
    </row>
    <row r="80" spans="1:13" ht="22.5" customHeight="1" x14ac:dyDescent="0.2">
      <c r="B80" s="38" t="s">
        <v>56</v>
      </c>
      <c r="C80" s="39"/>
      <c r="D80" s="39"/>
      <c r="E80" s="40"/>
      <c r="F80" s="25">
        <f>81993002.95</f>
        <v>81993002.950000003</v>
      </c>
      <c r="G80" s="25">
        <f>45979979.99</f>
        <v>45979979.990000002</v>
      </c>
      <c r="H80" s="25">
        <f>0</f>
        <v>0</v>
      </c>
      <c r="I80" s="25">
        <f>0</f>
        <v>0</v>
      </c>
      <c r="J80" s="25">
        <f>45979979.99</f>
        <v>45979979.990000002</v>
      </c>
      <c r="K80" s="25">
        <f>0</f>
        <v>0</v>
      </c>
      <c r="L80" s="25">
        <f>36013022.96</f>
        <v>36013022.960000001</v>
      </c>
    </row>
    <row r="81" spans="1:13" ht="33.75" customHeight="1" x14ac:dyDescent="0.2">
      <c r="B81" s="38" t="s">
        <v>57</v>
      </c>
      <c r="C81" s="39"/>
      <c r="D81" s="39"/>
      <c r="E81" s="40"/>
      <c r="F81" s="25">
        <f>24618961.48</f>
        <v>24618961.48</v>
      </c>
      <c r="G81" s="25">
        <f>17410152.7</f>
        <v>17410152.699999999</v>
      </c>
      <c r="H81" s="25">
        <f>0</f>
        <v>0</v>
      </c>
      <c r="I81" s="25">
        <f>0</f>
        <v>0</v>
      </c>
      <c r="J81" s="25">
        <f>17410152.7</f>
        <v>17410152.699999999</v>
      </c>
      <c r="K81" s="25">
        <f>0</f>
        <v>0</v>
      </c>
      <c r="L81" s="25">
        <f>7208808.78</f>
        <v>7208808.7800000003</v>
      </c>
    </row>
    <row r="82" spans="1:13" ht="33.75" customHeight="1" x14ac:dyDescent="0.2">
      <c r="B82" s="38" t="s">
        <v>58</v>
      </c>
      <c r="C82" s="39"/>
      <c r="D82" s="39"/>
      <c r="E82" s="40"/>
      <c r="F82" s="25">
        <f>30406096.55</f>
        <v>30406096.550000001</v>
      </c>
      <c r="G82" s="25">
        <f>17089321.03</f>
        <v>17089321.030000001</v>
      </c>
      <c r="H82" s="25">
        <f>0</f>
        <v>0</v>
      </c>
      <c r="I82" s="25">
        <f>0</f>
        <v>0</v>
      </c>
      <c r="J82" s="25">
        <f>17089321.03</f>
        <v>17089321.030000001</v>
      </c>
      <c r="K82" s="25">
        <f>0</f>
        <v>0</v>
      </c>
      <c r="L82" s="25">
        <f>13316775.52</f>
        <v>13316775.52</v>
      </c>
    </row>
    <row r="83" spans="1:13" ht="33" customHeight="1" x14ac:dyDescent="0.2">
      <c r="B83" s="55" t="s">
        <v>59</v>
      </c>
      <c r="C83" s="56"/>
      <c r="D83" s="56"/>
      <c r="E83" s="57"/>
      <c r="F83" s="22">
        <f>2580353.42</f>
        <v>2580353.42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2580353.42</f>
        <v>2580353.42</v>
      </c>
    </row>
    <row r="86" spans="1:13" ht="75" customHeight="1" x14ac:dyDescent="0.2">
      <c r="A86" s="33" t="str">
        <f>CONCATENATE("Informacja z wykonania budżetów jednostek samorządu terytorialnego za ",$C$94," ",$B$95," roku")</f>
        <v>Informacja z wykonania budżetów jednostek samorządu terytorialnego za III Kwartały 2023 roku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3.5" customHeight="1" x14ac:dyDescent="0.2">
      <c r="B87" s="3"/>
    </row>
    <row r="88" spans="1:13" ht="13.5" customHeight="1" x14ac:dyDescent="0.2">
      <c r="B88" s="4"/>
      <c r="C88" s="44"/>
      <c r="D88" s="60"/>
      <c r="E88" s="60"/>
      <c r="F88" s="45"/>
      <c r="G88" s="44" t="s">
        <v>3</v>
      </c>
      <c r="H88" s="45"/>
      <c r="I88" s="44" t="s">
        <v>4</v>
      </c>
      <c r="J88" s="45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58">
        <f>1668</f>
        <v>1668</v>
      </c>
      <c r="H89" s="59"/>
      <c r="I89" s="41">
        <f>13919485456.99</f>
        <v>13919485456.99</v>
      </c>
      <c r="J89" s="42"/>
      <c r="K89" s="6"/>
    </row>
    <row r="90" spans="1:13" ht="13.5" customHeight="1" x14ac:dyDescent="0.2">
      <c r="B90" s="5"/>
      <c r="C90" s="38" t="s">
        <v>6</v>
      </c>
      <c r="D90" s="39"/>
      <c r="E90" s="39"/>
      <c r="F90" s="40"/>
      <c r="G90" s="61">
        <f>1139</f>
        <v>1139</v>
      </c>
      <c r="H90" s="62"/>
      <c r="I90" s="63">
        <f>-5630766530.01001</f>
        <v>-5630766530.0100098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58">
        <f>0</f>
        <v>0</v>
      </c>
      <c r="H91" s="59"/>
      <c r="I91" s="41">
        <f>0</f>
        <v>0</v>
      </c>
      <c r="J91" s="42"/>
      <c r="K91" s="6"/>
    </row>
    <row r="94" spans="1:13" ht="13.5" customHeight="1" x14ac:dyDescent="0.2">
      <c r="A94" s="7" t="s">
        <v>8</v>
      </c>
      <c r="B94" s="7">
        <f>3</f>
        <v>3</v>
      </c>
      <c r="C94" s="7" t="str">
        <f>IF(B94=1,"I Kwartał",IF(B94=2,"II Kwartały",IF(B94=3,"III Kwartały",IF(B94=4,"IV Kwartały","-"))))</f>
        <v>III Kwartały</v>
      </c>
    </row>
    <row r="95" spans="1:13" ht="13.5" customHeight="1" x14ac:dyDescent="0.2">
      <c r="A95" s="7" t="s">
        <v>9</v>
      </c>
      <c r="B95" s="7">
        <f>2023</f>
        <v>2023</v>
      </c>
      <c r="C95" s="8"/>
    </row>
    <row r="96" spans="1:13" ht="13.5" customHeight="1" x14ac:dyDescent="0.2">
      <c r="A96" s="7" t="s">
        <v>10</v>
      </c>
      <c r="B96" s="9" t="str">
        <f>"Nov 14 2023 12:00AM"</f>
        <v>Nov 14 2023 12:00AM</v>
      </c>
      <c r="C96" s="8"/>
    </row>
  </sheetData>
  <mergeCells count="75">
    <mergeCell ref="K72:K75"/>
    <mergeCell ref="G35:G38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H35:H38"/>
    <mergeCell ref="K35:K38"/>
    <mergeCell ref="I35:I38"/>
    <mergeCell ref="J35:J38"/>
    <mergeCell ref="E35:E38"/>
    <mergeCell ref="H72:H75"/>
    <mergeCell ref="I72:I75"/>
    <mergeCell ref="J72:J75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L72:L75"/>
    <mergeCell ref="F35:F38"/>
    <mergeCell ref="A30:M30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B71:E75"/>
    <mergeCell ref="B83:E83"/>
    <mergeCell ref="A86:M86"/>
    <mergeCell ref="B79:E79"/>
    <mergeCell ref="B80:E80"/>
    <mergeCell ref="B81:E81"/>
    <mergeCell ref="B78:E78"/>
    <mergeCell ref="B77:E77"/>
    <mergeCell ref="F71:F75"/>
    <mergeCell ref="G72:G75"/>
    <mergeCell ref="G71:L71"/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  <mergeCell ref="M35:M38"/>
    <mergeCell ref="O34:Q34"/>
    <mergeCell ref="A32:M32"/>
    <mergeCell ref="B34:B38"/>
    <mergeCell ref="A34:A38"/>
    <mergeCell ref="C35:C38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2023-11-27T09:47:09Z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2023-11-27T10:47:07.0054906+01:00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GRN-3aab60cc-fdd9-43f0-b57a-2ea2b829b02b</vt:lpwstr>
  </property>
  <property fmtid="{D5CDD505-2E9C-101B-9397-08002B2CF9AE}" pid="7" name="MFHash">
    <vt:lpwstr>9Cffd244KBW5h+ASmcXfTjYSRV4RoeLCmnm6odICsDs=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