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3\III kwartał\Dane ostateczne 2023.11.14\BIP MF\Zbiorówki\"/>
    </mc:Choice>
  </mc:AlternateContent>
  <xr:revisionPtr revIDLastSave="0" documentId="13_ncr:1_{565CBF31-28B1-429F-AA43-3A363E3B63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b_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" i="7" l="1"/>
  <c r="B92" i="7"/>
  <c r="B91" i="7"/>
  <c r="B90" i="7"/>
  <c r="I87" i="7"/>
  <c r="G87" i="7"/>
  <c r="I86" i="7"/>
  <c r="G86" i="7"/>
  <c r="I85" i="7"/>
  <c r="G85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L75" i="7"/>
  <c r="K75" i="7"/>
  <c r="J75" i="7"/>
  <c r="I75" i="7"/>
  <c r="H75" i="7"/>
  <c r="G75" i="7"/>
  <c r="F75" i="7"/>
  <c r="L74" i="7"/>
  <c r="K74" i="7"/>
  <c r="J74" i="7"/>
  <c r="I74" i="7"/>
  <c r="H74" i="7"/>
  <c r="G74" i="7"/>
  <c r="F74" i="7"/>
  <c r="L73" i="7"/>
  <c r="K73" i="7"/>
  <c r="J73" i="7"/>
  <c r="I73" i="7"/>
  <c r="H73" i="7"/>
  <c r="G73" i="7"/>
  <c r="F73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0" i="7" l="1"/>
  <c r="A82" i="7" l="1"/>
  <c r="A63" i="7"/>
  <c r="A1" i="7"/>
  <c r="A27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<sst xmlns="http://schemas.openxmlformats.org/spreadsheetml/2006/main" count="97" uniqueCount="81">
  <si>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</si>
  <si>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</si>
  <si>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</si>
  <si>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</si>
  <si>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</si>
  <si>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</si>
  <si>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</si>
  <si>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</si>
  <si>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</si>
  <si>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</si>
  <si>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</si>
  <si>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</si>
  <si>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</si>
  <si>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</si>
  <si>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</si>
  <si>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</si>
  <si>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</si>
  <si>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</si>
  <si>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</si>
  <si>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</si>
  <si>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</si>
  <si>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</si>
  <si>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</si>
  <si>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</si>
  <si>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</si>
  <si>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</si>
  <si>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</si>
  <si>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</si>
  <si>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</si>
  <si>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</si>
  <si>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</si>
  <si>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</si>
  <si>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</si>
  <si>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</si>
  <si>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</si>
  <si>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</si>
  <si>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</si>
  <si>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</si>
  <si>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</si>
  <si>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</si>
  <si>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</si>
  <si>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</si>
  <si>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</si>
  <si>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</si>
  <si>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</si>
  <si>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</si>
  <si>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E1.1 krótkotermionowe</t>
  </si>
  <si>
    <t>E1.2 długoterminowe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</si>
  <si>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</si>
  <si>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</si>
  <si>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</si>
  <si>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</si>
  <si>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</si>
  <si>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</si>
  <si>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</si>
  <si>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</si>
  <si>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</si>
  <si>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</si>
  <si>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</si>
  <si>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</si>
  <si>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</si>
  <si>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</si>
  <si>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</si>
  <si>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</si>
  <si>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</si>
  <si>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</si>
  <si>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</si>
  <si>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</si>
  <si>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</si>
  <si>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</si>
  <si>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</si>
  <si>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</si>
  <si>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</si>
  <si>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</si>
  <si>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</si>
  <si>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</si>
  <si>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</si>
  <si>
    <t>E1 papiery wartościowe  (E1.1+E1.2)</t>
  </si>
  <si>
    <t>E2 kredyty i pożyczki (E2.1+E2.2)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</si>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</sst>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0" borderId="10" xfId="37" applyFont="1" applyBorder="1" applyAlignment="1">
      <alignment horizontal="left" vertical="center" wrapText="1"/>
    </xf>
    <xf numFmtId="0" fontId="31" fillId="0" borderId="17" xfId="0" applyFont="1" applyFill="1" applyBorder="1" applyAlignment="1">
      <alignment vertical="center" wrapText="1"/>
    </xf>
    <xf numFmtId="0" fontId="2" fillId="20" borderId="10" xfId="37" applyFont="1" applyFill="1" applyBorder="1" applyAlignment="1">
      <alignment horizontal="left" vertical="center" wrapText="1"/>
    </xf>
    <xf numFmtId="0" fontId="8" fillId="20" borderId="10" xfId="37" applyFont="1" applyFill="1" applyBorder="1" applyAlignment="1">
      <alignment horizontal="left" vertical="center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0" fontId="30" fillId="21" borderId="17" xfId="0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horizontal="right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28" fillId="19" borderId="19" xfId="37" applyFont="1" applyFill="1" applyBorder="1" applyAlignment="1">
      <alignment horizontal="center" vertical="center" wrapText="1"/>
    </xf>
    <xf numFmtId="0" fontId="28" fillId="19" borderId="20" xfId="37" applyFont="1" applyFill="1" applyBorder="1" applyAlignment="1">
      <alignment horizontal="center" vertical="center" wrapText="1"/>
    </xf>
    <xf numFmtId="0" fontId="28" fillId="19" borderId="12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28" fillId="19" borderId="15" xfId="37" applyFont="1" applyFill="1" applyBorder="1" applyAlignment="1">
      <alignment horizontal="center" vertical="center" wrapText="1"/>
    </xf>
    <xf numFmtId="0" fontId="28" fillId="19" borderId="14" xfId="37" applyFont="1" applyFill="1" applyBorder="1" applyAlignment="1">
      <alignment horizontal="center" vertical="center" wrapText="1"/>
    </xf>
    <xf numFmtId="0" fontId="28" fillId="19" borderId="11" xfId="37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7" fillId="19" borderId="21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29" fillId="19" borderId="10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7" fillId="20" borderId="15" xfId="37" applyNumberFormat="1" applyFont="1" applyFill="1" applyBorder="1" applyAlignment="1">
      <alignment horizontal="right" vertical="center" wrapText="1"/>
    </xf>
    <xf numFmtId="3" fontId="7" fillId="20" borderId="11" xfId="37" applyNumberFormat="1" applyFont="1" applyFill="1" applyBorder="1" applyAlignment="1">
      <alignment horizontal="right" vertical="center" wrapText="1"/>
    </xf>
    <xf numFmtId="4" fontId="7" fillId="20" borderId="15" xfId="37" applyNumberFormat="1" applyFont="1" applyFill="1" applyBorder="1" applyAlignment="1">
      <alignment horizontal="right" vertical="center" wrapText="1"/>
    </xf>
    <xf numFmtId="4" fontId="7" fillId="20" borderId="11" xfId="37" applyNumberFormat="1" applyFont="1" applyFill="1" applyBorder="1" applyAlignment="1">
      <alignment horizontal="right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29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ny" xfId="0" builtinId="0"/>
    <cellStyle name="Normalny_Zeszyt1" xfId="37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Warning Text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93"/>
  <sheetViews>
    <sheetView tabSelected="1" zoomScaleNormal="100" zoomScaleSheetLayoutView="75" workbookViewId="0">
      <selection activeCell="A2" sqref="A2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6" width="11.42578125" style="2" customWidth="1"/>
    <col min="7" max="7" width="12.140625" style="2" customWidth="1"/>
    <col min="8" max="8" width="12" style="2" customWidth="1"/>
    <col min="9" max="9" width="12.5703125" style="2" customWidth="1"/>
    <col min="10" max="10" width="12.85546875" style="2" customWidth="1"/>
    <col min="11" max="11" width="12.140625" style="2" customWidth="1"/>
    <col min="12" max="12" width="11.42578125" style="2" customWidth="1"/>
    <col min="13" max="13" width="10" style="2" customWidth="1"/>
    <col min="14" max="14" width="10.28515625" style="2" customWidth="1"/>
    <col min="15" max="15" width="9.140625" style="2"/>
    <col min="16" max="16" width="10.28515625" style="2" customWidth="1"/>
    <col min="17" max="16384" width="9.140625" style="2"/>
  </cols>
  <sheetData>
    <row r="1" spans="1:17" ht="39.75" customHeight="1" x14ac:dyDescent="0.2">
      <c r="A1" s="47" t="str">
        <f>CONCATENATE("Informacja z wykonania budżetów powiatów za   ",$C$90," ",$B$91," roku    ",$B$93,"")</f>
        <v xml:space="preserve">Informacja z wykonania budżetów powiatów za   III Kwartały 2023 roku    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48" t="s">
        <v>60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5" spans="1:17" ht="13.5" customHeight="1" x14ac:dyDescent="0.2">
      <c r="B5" s="12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11"/>
      <c r="O5" s="11"/>
      <c r="P5" s="11"/>
      <c r="Q5" s="11"/>
    </row>
    <row r="6" spans="1:17" ht="13.5" customHeight="1" x14ac:dyDescent="0.2">
      <c r="A6" s="38" t="s">
        <v>0</v>
      </c>
      <c r="B6" s="43" t="s">
        <v>61</v>
      </c>
      <c r="C6" s="52" t="s">
        <v>65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52" t="s">
        <v>64</v>
      </c>
      <c r="P6" s="30"/>
      <c r="Q6" s="31"/>
    </row>
    <row r="7" spans="1:17" ht="13.5" customHeight="1" x14ac:dyDescent="0.2">
      <c r="A7" s="39"/>
      <c r="B7" s="41"/>
      <c r="C7" s="42" t="s">
        <v>62</v>
      </c>
      <c r="D7" s="42" t="s">
        <v>73</v>
      </c>
      <c r="E7" s="42" t="s">
        <v>66</v>
      </c>
      <c r="F7" s="42" t="s">
        <v>67</v>
      </c>
      <c r="G7" s="42" t="s">
        <v>27</v>
      </c>
      <c r="H7" s="42" t="s">
        <v>28</v>
      </c>
      <c r="I7" s="49" t="s">
        <v>63</v>
      </c>
      <c r="J7" s="42" t="s">
        <v>16</v>
      </c>
      <c r="K7" s="42" t="s">
        <v>17</v>
      </c>
      <c r="L7" s="42" t="s">
        <v>18</v>
      </c>
      <c r="M7" s="42" t="s">
        <v>19</v>
      </c>
      <c r="N7" s="41" t="s">
        <v>20</v>
      </c>
      <c r="O7" s="37" t="s">
        <v>21</v>
      </c>
      <c r="P7" s="37" t="s">
        <v>22</v>
      </c>
      <c r="Q7" s="37" t="s">
        <v>23</v>
      </c>
    </row>
    <row r="8" spans="1:17" ht="13.5" customHeight="1" x14ac:dyDescent="0.2">
      <c r="A8" s="39"/>
      <c r="B8" s="41"/>
      <c r="C8" s="37"/>
      <c r="D8" s="37"/>
      <c r="E8" s="37"/>
      <c r="F8" s="37"/>
      <c r="G8" s="37"/>
      <c r="H8" s="37"/>
      <c r="I8" s="49"/>
      <c r="J8" s="37"/>
      <c r="K8" s="37"/>
      <c r="L8" s="37"/>
      <c r="M8" s="37"/>
      <c r="N8" s="41"/>
      <c r="O8" s="37"/>
      <c r="P8" s="37"/>
      <c r="Q8" s="37"/>
    </row>
    <row r="9" spans="1:17" ht="11.25" customHeight="1" x14ac:dyDescent="0.2">
      <c r="A9" s="39"/>
      <c r="B9" s="41"/>
      <c r="C9" s="37"/>
      <c r="D9" s="37"/>
      <c r="E9" s="37"/>
      <c r="F9" s="37"/>
      <c r="G9" s="37"/>
      <c r="H9" s="37"/>
      <c r="I9" s="49"/>
      <c r="J9" s="37"/>
      <c r="K9" s="37"/>
      <c r="L9" s="37"/>
      <c r="M9" s="37"/>
      <c r="N9" s="41"/>
      <c r="O9" s="37"/>
      <c r="P9" s="37"/>
      <c r="Q9" s="37"/>
    </row>
    <row r="10" spans="1:17" ht="33.75" customHeight="1" x14ac:dyDescent="0.2">
      <c r="A10" s="40"/>
      <c r="B10" s="42"/>
      <c r="C10" s="37"/>
      <c r="D10" s="37"/>
      <c r="E10" s="37"/>
      <c r="F10" s="37"/>
      <c r="G10" s="37"/>
      <c r="H10" s="37"/>
      <c r="I10" s="50"/>
      <c r="J10" s="37"/>
      <c r="K10" s="37"/>
      <c r="L10" s="37"/>
      <c r="M10" s="37"/>
      <c r="N10" s="42"/>
      <c r="O10" s="37"/>
      <c r="P10" s="37"/>
      <c r="Q10" s="37"/>
    </row>
    <row r="11" spans="1:17" ht="15.75" customHeight="1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</row>
    <row r="12" spans="1:17" ht="12" customHeight="1" x14ac:dyDescent="0.2">
      <c r="A12" s="13"/>
      <c r="B12" s="27" t="s">
        <v>76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</row>
    <row r="13" spans="1:17" ht="39.75" customHeight="1" x14ac:dyDescent="0.2">
      <c r="A13" s="20" t="s">
        <v>45</v>
      </c>
      <c r="B13" s="21">
        <f>5882464667.97</f>
        <v>5882464667.9700003</v>
      </c>
      <c r="C13" s="21">
        <f>5882464667.97</f>
        <v>5882464667.9700003</v>
      </c>
      <c r="D13" s="21">
        <f>248982140.87</f>
        <v>248982140.87</v>
      </c>
      <c r="E13" s="21">
        <f>207885755</f>
        <v>207885755</v>
      </c>
      <c r="F13" s="21">
        <f>9413158.75</f>
        <v>9413158.75</v>
      </c>
      <c r="G13" s="21">
        <f>31683227.12</f>
        <v>31683227.120000001</v>
      </c>
      <c r="H13" s="21">
        <f>0</f>
        <v>0</v>
      </c>
      <c r="I13" s="21">
        <f>0</f>
        <v>0</v>
      </c>
      <c r="J13" s="21">
        <f>5338457113.45</f>
        <v>5338457113.4499998</v>
      </c>
      <c r="K13" s="21">
        <f>282361409.79</f>
        <v>282361409.79000002</v>
      </c>
      <c r="L13" s="21">
        <f>8542818.11</f>
        <v>8542818.1099999994</v>
      </c>
      <c r="M13" s="21">
        <f>607777.55</f>
        <v>607777.55000000005</v>
      </c>
      <c r="N13" s="21">
        <f>3513408.2</f>
        <v>3513408.2</v>
      </c>
      <c r="O13" s="21">
        <f>0</f>
        <v>0</v>
      </c>
      <c r="P13" s="21">
        <f>0</f>
        <v>0</v>
      </c>
      <c r="Q13" s="21">
        <f>0</f>
        <v>0</v>
      </c>
    </row>
    <row r="14" spans="1:17" ht="24.75" customHeight="1" x14ac:dyDescent="0.2">
      <c r="A14" s="19" t="s">
        <v>77</v>
      </c>
      <c r="B14" s="21">
        <f>90865000</f>
        <v>90865000</v>
      </c>
      <c r="C14" s="21">
        <f>90865000</f>
        <v>90865000</v>
      </c>
      <c r="D14" s="21">
        <f>0</f>
        <v>0</v>
      </c>
      <c r="E14" s="21">
        <f>0</f>
        <v>0</v>
      </c>
      <c r="F14" s="21">
        <f>0</f>
        <v>0</v>
      </c>
      <c r="G14" s="21">
        <f>0</f>
        <v>0</v>
      </c>
      <c r="H14" s="21">
        <f>0</f>
        <v>0</v>
      </c>
      <c r="I14" s="21">
        <f>0</f>
        <v>0</v>
      </c>
      <c r="J14" s="21">
        <f>90865000</f>
        <v>90865000</v>
      </c>
      <c r="K14" s="21">
        <f>0</f>
        <v>0</v>
      </c>
      <c r="L14" s="21">
        <f>0</f>
        <v>0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21" customHeight="1" x14ac:dyDescent="0.2">
      <c r="A15" s="17" t="s">
        <v>46</v>
      </c>
      <c r="B15" s="22">
        <f>0</f>
        <v>0</v>
      </c>
      <c r="C15" s="22">
        <f>0</f>
        <v>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0</f>
        <v>0</v>
      </c>
      <c r="K15" s="22">
        <f>0</f>
        <v>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20.25" customHeight="1" x14ac:dyDescent="0.2">
      <c r="A16" s="17" t="s">
        <v>47</v>
      </c>
      <c r="B16" s="22">
        <f>90865000</f>
        <v>90865000</v>
      </c>
      <c r="C16" s="22">
        <f>90865000</f>
        <v>90865000</v>
      </c>
      <c r="D16" s="22">
        <f>0</f>
        <v>0</v>
      </c>
      <c r="E16" s="22">
        <f>0</f>
        <v>0</v>
      </c>
      <c r="F16" s="22">
        <f>0</f>
        <v>0</v>
      </c>
      <c r="G16" s="22">
        <f>0</f>
        <v>0</v>
      </c>
      <c r="H16" s="22">
        <f>0</f>
        <v>0</v>
      </c>
      <c r="I16" s="22">
        <f>0</f>
        <v>0</v>
      </c>
      <c r="J16" s="22">
        <f>90865000</f>
        <v>90865000</v>
      </c>
      <c r="K16" s="22">
        <f>0</f>
        <v>0</v>
      </c>
      <c r="L16" s="22">
        <f>0</f>
        <v>0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24" customHeight="1" x14ac:dyDescent="0.2">
      <c r="A17" s="20" t="s">
        <v>78</v>
      </c>
      <c r="B17" s="21">
        <f>5782760536.34</f>
        <v>5782760536.3400002</v>
      </c>
      <c r="C17" s="21">
        <f>5782760536.34</f>
        <v>5782760536.3400002</v>
      </c>
      <c r="D17" s="21">
        <f>242370082.15</f>
        <v>242370082.15000001</v>
      </c>
      <c r="E17" s="21">
        <f>202617105.11</f>
        <v>202617105.11000001</v>
      </c>
      <c r="F17" s="21">
        <f>9313338.75</f>
        <v>9313338.75</v>
      </c>
      <c r="G17" s="21">
        <f>30439638.29</f>
        <v>30439638.289999999</v>
      </c>
      <c r="H17" s="21">
        <f>0</f>
        <v>0</v>
      </c>
      <c r="I17" s="21">
        <f>0</f>
        <v>0</v>
      </c>
      <c r="J17" s="21">
        <f>5247592113.45</f>
        <v>5247592113.4499998</v>
      </c>
      <c r="K17" s="21">
        <f>282361409.79</f>
        <v>282361409.79000002</v>
      </c>
      <c r="L17" s="21">
        <f>7021715.25</f>
        <v>7021715.25</v>
      </c>
      <c r="M17" s="21">
        <f>0</f>
        <v>0</v>
      </c>
      <c r="N17" s="21">
        <f>3415215.7</f>
        <v>3415215.7</v>
      </c>
      <c r="O17" s="21">
        <f>0</f>
        <v>0</v>
      </c>
      <c r="P17" s="21">
        <f>0</f>
        <v>0</v>
      </c>
      <c r="Q17" s="21">
        <f>0</f>
        <v>0</v>
      </c>
    </row>
    <row r="18" spans="1:17" ht="23.25" customHeight="1" x14ac:dyDescent="0.2">
      <c r="A18" s="17" t="s">
        <v>48</v>
      </c>
      <c r="B18" s="22">
        <f>37215419.95</f>
        <v>37215419.950000003</v>
      </c>
      <c r="C18" s="22">
        <f>37215419.95</f>
        <v>37215419.950000003</v>
      </c>
      <c r="D18" s="22">
        <f>55296</f>
        <v>55296</v>
      </c>
      <c r="E18" s="22">
        <f>0</f>
        <v>0</v>
      </c>
      <c r="F18" s="22">
        <f>55296</f>
        <v>55296</v>
      </c>
      <c r="G18" s="22">
        <f>0</f>
        <v>0</v>
      </c>
      <c r="H18" s="22">
        <f>0</f>
        <v>0</v>
      </c>
      <c r="I18" s="22">
        <f>0</f>
        <v>0</v>
      </c>
      <c r="J18" s="22">
        <f>32364433.83</f>
        <v>32364433.829999998</v>
      </c>
      <c r="K18" s="22">
        <f>465690.12</f>
        <v>465690.12</v>
      </c>
      <c r="L18" s="22">
        <f>4330000</f>
        <v>4330000</v>
      </c>
      <c r="M18" s="22">
        <f>0</f>
        <v>0</v>
      </c>
      <c r="N18" s="22">
        <f>0</f>
        <v>0</v>
      </c>
      <c r="O18" s="22">
        <f>0</f>
        <v>0</v>
      </c>
      <c r="P18" s="22">
        <f>0</f>
        <v>0</v>
      </c>
      <c r="Q18" s="22">
        <f>0</f>
        <v>0</v>
      </c>
    </row>
    <row r="19" spans="1:17" ht="21.75" customHeight="1" x14ac:dyDescent="0.2">
      <c r="A19" s="17" t="s">
        <v>49</v>
      </c>
      <c r="B19" s="22">
        <f>5745545116.39</f>
        <v>5745545116.3900003</v>
      </c>
      <c r="C19" s="22">
        <f>5745545116.39</f>
        <v>5745545116.3900003</v>
      </c>
      <c r="D19" s="22">
        <f>242314786.15</f>
        <v>242314786.15000001</v>
      </c>
      <c r="E19" s="22">
        <f>202617105.11</f>
        <v>202617105.11000001</v>
      </c>
      <c r="F19" s="22">
        <f>9258042.75</f>
        <v>9258042.75</v>
      </c>
      <c r="G19" s="22">
        <f>30439638.29</f>
        <v>30439638.289999999</v>
      </c>
      <c r="H19" s="22">
        <f>0</f>
        <v>0</v>
      </c>
      <c r="I19" s="22">
        <f>0</f>
        <v>0</v>
      </c>
      <c r="J19" s="22">
        <f>5215227679.62</f>
        <v>5215227679.6199999</v>
      </c>
      <c r="K19" s="22">
        <f>281895719.67</f>
        <v>281895719.67000002</v>
      </c>
      <c r="L19" s="22">
        <f>2691715.25</f>
        <v>2691715.25</v>
      </c>
      <c r="M19" s="22">
        <f>0</f>
        <v>0</v>
      </c>
      <c r="N19" s="22">
        <f>3415215.7</f>
        <v>3415215.7</v>
      </c>
      <c r="O19" s="22">
        <f>0</f>
        <v>0</v>
      </c>
      <c r="P19" s="22">
        <f>0</f>
        <v>0</v>
      </c>
      <c r="Q19" s="22">
        <f>0</f>
        <v>0</v>
      </c>
    </row>
    <row r="20" spans="1:17" ht="21.75" customHeight="1" x14ac:dyDescent="0.2">
      <c r="A20" s="17" t="s">
        <v>50</v>
      </c>
      <c r="B20" s="22">
        <f>0</f>
        <v>0</v>
      </c>
      <c r="C20" s="22">
        <f>0</f>
        <v>0</v>
      </c>
      <c r="D20" s="22">
        <f>0</f>
        <v>0</v>
      </c>
      <c r="E20" s="22">
        <f>0</f>
        <v>0</v>
      </c>
      <c r="F20" s="22">
        <f>0</f>
        <v>0</v>
      </c>
      <c r="G20" s="22">
        <f>0</f>
        <v>0</v>
      </c>
      <c r="H20" s="22">
        <f>0</f>
        <v>0</v>
      </c>
      <c r="I20" s="22">
        <f>0</f>
        <v>0</v>
      </c>
      <c r="J20" s="22">
        <f>0</f>
        <v>0</v>
      </c>
      <c r="K20" s="22">
        <f>0</f>
        <v>0</v>
      </c>
      <c r="L20" s="22">
        <f>0</f>
        <v>0</v>
      </c>
      <c r="M20" s="22">
        <f>0</f>
        <v>0</v>
      </c>
      <c r="N20" s="22">
        <f>0</f>
        <v>0</v>
      </c>
      <c r="O20" s="22">
        <f>0</f>
        <v>0</v>
      </c>
      <c r="P20" s="22">
        <f>0</f>
        <v>0</v>
      </c>
      <c r="Q20" s="22">
        <f>0</f>
        <v>0</v>
      </c>
    </row>
    <row r="21" spans="1:17" ht="24.75" customHeight="1" x14ac:dyDescent="0.2">
      <c r="A21" s="20" t="s">
        <v>79</v>
      </c>
      <c r="B21" s="21">
        <f>8839131.63</f>
        <v>8839131.6300000008</v>
      </c>
      <c r="C21" s="21">
        <f>8839131.63</f>
        <v>8839131.6300000008</v>
      </c>
      <c r="D21" s="21">
        <f>6612058.72</f>
        <v>6612058.7199999997</v>
      </c>
      <c r="E21" s="21">
        <f>5268649.89</f>
        <v>5268649.8899999997</v>
      </c>
      <c r="F21" s="21">
        <f>99820</f>
        <v>99820</v>
      </c>
      <c r="G21" s="21">
        <f>1243588.83</f>
        <v>1243588.83</v>
      </c>
      <c r="H21" s="21">
        <f>0</f>
        <v>0</v>
      </c>
      <c r="I21" s="21">
        <f>0</f>
        <v>0</v>
      </c>
      <c r="J21" s="21">
        <f>0</f>
        <v>0</v>
      </c>
      <c r="K21" s="21">
        <f>0</f>
        <v>0</v>
      </c>
      <c r="L21" s="21">
        <f>1521102.86</f>
        <v>1521102.86</v>
      </c>
      <c r="M21" s="21">
        <f>607777.55</f>
        <v>607777.55000000005</v>
      </c>
      <c r="N21" s="21">
        <f>98192.5</f>
        <v>98192.5</v>
      </c>
      <c r="O21" s="21">
        <f>0</f>
        <v>0</v>
      </c>
      <c r="P21" s="21">
        <f>0</f>
        <v>0</v>
      </c>
      <c r="Q21" s="21">
        <f>0</f>
        <v>0</v>
      </c>
    </row>
    <row r="22" spans="1:17" ht="22.5" x14ac:dyDescent="0.2">
      <c r="A22" s="17" t="s">
        <v>51</v>
      </c>
      <c r="B22" s="22">
        <f>2079357.79</f>
        <v>2079357.79</v>
      </c>
      <c r="C22" s="22">
        <f>2079357.79</f>
        <v>2079357.79</v>
      </c>
      <c r="D22" s="22">
        <f>215111.09</f>
        <v>215111.09</v>
      </c>
      <c r="E22" s="22">
        <f>0</f>
        <v>0</v>
      </c>
      <c r="F22" s="22">
        <f>99820</f>
        <v>99820</v>
      </c>
      <c r="G22" s="22">
        <f>115291.09</f>
        <v>115291.09</v>
      </c>
      <c r="H22" s="22">
        <f>0</f>
        <v>0</v>
      </c>
      <c r="I22" s="22">
        <f>0</f>
        <v>0</v>
      </c>
      <c r="J22" s="22">
        <f>0</f>
        <v>0</v>
      </c>
      <c r="K22" s="22">
        <f>0</f>
        <v>0</v>
      </c>
      <c r="L22" s="22">
        <f>1451814.41</f>
        <v>1451814.41</v>
      </c>
      <c r="M22" s="22">
        <f>314239.79</f>
        <v>314239.78999999998</v>
      </c>
      <c r="N22" s="22">
        <f>98192.5</f>
        <v>98192.5</v>
      </c>
      <c r="O22" s="22">
        <f>0</f>
        <v>0</v>
      </c>
      <c r="P22" s="22">
        <f>0</f>
        <v>0</v>
      </c>
      <c r="Q22" s="22">
        <f>0</f>
        <v>0</v>
      </c>
    </row>
    <row r="23" spans="1:17" ht="23.25" customHeight="1" x14ac:dyDescent="0.2">
      <c r="A23" s="17" t="s">
        <v>52</v>
      </c>
      <c r="B23" s="22">
        <f>6759773.84</f>
        <v>6759773.8399999999</v>
      </c>
      <c r="C23" s="22">
        <f>6759773.84</f>
        <v>6759773.8399999999</v>
      </c>
      <c r="D23" s="22">
        <f>6396947.63</f>
        <v>6396947.6299999999</v>
      </c>
      <c r="E23" s="22">
        <f>5268649.89</f>
        <v>5268649.8899999997</v>
      </c>
      <c r="F23" s="22">
        <f>0</f>
        <v>0</v>
      </c>
      <c r="G23" s="22">
        <f>1128297.74</f>
        <v>1128297.74</v>
      </c>
      <c r="H23" s="22">
        <f>0</f>
        <v>0</v>
      </c>
      <c r="I23" s="22">
        <f>0</f>
        <v>0</v>
      </c>
      <c r="J23" s="22">
        <f>0</f>
        <v>0</v>
      </c>
      <c r="K23" s="22">
        <f>0</f>
        <v>0</v>
      </c>
      <c r="L23" s="22">
        <f>69288.45</f>
        <v>69288.45</v>
      </c>
      <c r="M23" s="22">
        <f>293537.76</f>
        <v>293537.76</v>
      </c>
      <c r="N23" s="22">
        <f>0</f>
        <v>0</v>
      </c>
      <c r="O23" s="22">
        <f>0</f>
        <v>0</v>
      </c>
      <c r="P23" s="22">
        <f>0</f>
        <v>0</v>
      </c>
      <c r="Q23" s="22">
        <f>0</f>
        <v>0</v>
      </c>
    </row>
    <row r="24" spans="1:17" ht="19.5" customHeight="1" x14ac:dyDescent="0.2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9.5" customHeight="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9.5" customHeight="1" x14ac:dyDescent="0.2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45.75" customHeight="1" x14ac:dyDescent="0.2">
      <c r="A27" s="47" t="str">
        <f>CONCATENATE("Informacja z wykonania budżetów powiatów za   ",$C$90," ",$B$91," roku    ",$B$93,"")</f>
        <v xml:space="preserve">Informacja z wykonania budżetów powiatów za   III Kwartały 2023 roku    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9" spans="1:17" ht="13.5" customHeight="1" x14ac:dyDescent="0.2">
      <c r="A29" s="48" t="s">
        <v>11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1" spans="1:17" ht="13.5" customHeight="1" x14ac:dyDescent="0.2">
      <c r="A31" s="38" t="s">
        <v>0</v>
      </c>
      <c r="B31" s="43" t="s">
        <v>12</v>
      </c>
      <c r="C31" s="44" t="s">
        <v>14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6"/>
      <c r="O31" s="44" t="s">
        <v>24</v>
      </c>
      <c r="P31" s="45"/>
      <c r="Q31" s="46"/>
    </row>
    <row r="32" spans="1:17" ht="13.5" customHeight="1" x14ac:dyDescent="0.2">
      <c r="A32" s="39"/>
      <c r="B32" s="41"/>
      <c r="C32" s="41" t="s">
        <v>13</v>
      </c>
      <c r="D32" s="37" t="s">
        <v>15</v>
      </c>
      <c r="E32" s="37" t="s">
        <v>25</v>
      </c>
      <c r="F32" s="37" t="s">
        <v>26</v>
      </c>
      <c r="G32" s="37" t="s">
        <v>70</v>
      </c>
      <c r="H32" s="37" t="s">
        <v>28</v>
      </c>
      <c r="I32" s="37" t="s">
        <v>1</v>
      </c>
      <c r="J32" s="37" t="s">
        <v>16</v>
      </c>
      <c r="K32" s="37" t="s">
        <v>17</v>
      </c>
      <c r="L32" s="37" t="s">
        <v>18</v>
      </c>
      <c r="M32" s="37" t="s">
        <v>19</v>
      </c>
      <c r="N32" s="85" t="s">
        <v>20</v>
      </c>
      <c r="O32" s="37" t="s">
        <v>21</v>
      </c>
      <c r="P32" s="37" t="s">
        <v>22</v>
      </c>
      <c r="Q32" s="43" t="s">
        <v>23</v>
      </c>
    </row>
    <row r="33" spans="1:17" ht="13.5" customHeight="1" x14ac:dyDescent="0.2">
      <c r="A33" s="39"/>
      <c r="B33" s="41"/>
      <c r="C33" s="4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85"/>
      <c r="O33" s="37"/>
      <c r="P33" s="37"/>
      <c r="Q33" s="41"/>
    </row>
    <row r="34" spans="1:17" ht="11.25" customHeight="1" x14ac:dyDescent="0.2">
      <c r="A34" s="39"/>
      <c r="B34" s="41"/>
      <c r="C34" s="41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85"/>
      <c r="O34" s="37"/>
      <c r="P34" s="37"/>
      <c r="Q34" s="41"/>
    </row>
    <row r="35" spans="1:17" ht="41.25" customHeight="1" x14ac:dyDescent="0.2">
      <c r="A35" s="40"/>
      <c r="B35" s="42"/>
      <c r="C35" s="42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85"/>
      <c r="O35" s="37"/>
      <c r="P35" s="37"/>
      <c r="Q35" s="42"/>
    </row>
    <row r="36" spans="1:17" ht="15.75" customHeight="1" x14ac:dyDescent="0.2">
      <c r="A36" s="13">
        <v>1</v>
      </c>
      <c r="B36" s="13">
        <v>2</v>
      </c>
      <c r="C36" s="13">
        <v>3</v>
      </c>
      <c r="D36" s="13">
        <v>4</v>
      </c>
      <c r="E36" s="13">
        <v>5</v>
      </c>
      <c r="F36" s="13">
        <v>6</v>
      </c>
      <c r="G36" s="13">
        <v>7</v>
      </c>
      <c r="H36" s="13">
        <v>8</v>
      </c>
      <c r="I36" s="13">
        <v>9</v>
      </c>
      <c r="J36" s="13">
        <v>10</v>
      </c>
      <c r="K36" s="13">
        <v>11</v>
      </c>
      <c r="L36" s="13">
        <v>12</v>
      </c>
      <c r="M36" s="13">
        <v>13</v>
      </c>
      <c r="N36" s="13">
        <v>14</v>
      </c>
      <c r="O36" s="13">
        <v>15</v>
      </c>
      <c r="P36" s="13">
        <v>16</v>
      </c>
      <c r="Q36" s="13">
        <v>17</v>
      </c>
    </row>
    <row r="37" spans="1:17" ht="12" customHeight="1" x14ac:dyDescent="0.2">
      <c r="A37" s="13"/>
      <c r="B37" s="27" t="s">
        <v>76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</row>
    <row r="38" spans="1:17" ht="30" customHeight="1" x14ac:dyDescent="0.2">
      <c r="A38" s="25" t="s">
        <v>40</v>
      </c>
      <c r="B38" s="23">
        <f>278034.61</f>
        <v>278034.61</v>
      </c>
      <c r="C38" s="23">
        <f>278034.61</f>
        <v>278034.61</v>
      </c>
      <c r="D38" s="23">
        <f>50000</f>
        <v>50000</v>
      </c>
      <c r="E38" s="23">
        <f>50000</f>
        <v>50000</v>
      </c>
      <c r="F38" s="23">
        <f>0</f>
        <v>0</v>
      </c>
      <c r="G38" s="23">
        <f>0</f>
        <v>0</v>
      </c>
      <c r="H38" s="23">
        <f>0</f>
        <v>0</v>
      </c>
      <c r="I38" s="23">
        <f>0</f>
        <v>0</v>
      </c>
      <c r="J38" s="23">
        <f>0</f>
        <v>0</v>
      </c>
      <c r="K38" s="23">
        <f>0</f>
        <v>0</v>
      </c>
      <c r="L38" s="23">
        <f>50045</f>
        <v>50045</v>
      </c>
      <c r="M38" s="23">
        <f>177989.61</f>
        <v>177989.61</v>
      </c>
      <c r="N38" s="23">
        <f>0</f>
        <v>0</v>
      </c>
      <c r="O38" s="23">
        <f>0</f>
        <v>0</v>
      </c>
      <c r="P38" s="23">
        <f>0</f>
        <v>0</v>
      </c>
      <c r="Q38" s="23">
        <f>0</f>
        <v>0</v>
      </c>
    </row>
    <row r="39" spans="1:17" ht="25.5" customHeight="1" x14ac:dyDescent="0.2">
      <c r="A39" s="18" t="s">
        <v>29</v>
      </c>
      <c r="B39" s="24">
        <f>8872.5</f>
        <v>8872.5</v>
      </c>
      <c r="C39" s="24">
        <f>8872.5</f>
        <v>8872.5</v>
      </c>
      <c r="D39" s="24">
        <f>0</f>
        <v>0</v>
      </c>
      <c r="E39" s="24">
        <f>0</f>
        <v>0</v>
      </c>
      <c r="F39" s="24">
        <f>0</f>
        <v>0</v>
      </c>
      <c r="G39" s="24">
        <f>0</f>
        <v>0</v>
      </c>
      <c r="H39" s="24">
        <f>0</f>
        <v>0</v>
      </c>
      <c r="I39" s="24">
        <f>0</f>
        <v>0</v>
      </c>
      <c r="J39" s="24">
        <f>0</f>
        <v>0</v>
      </c>
      <c r="K39" s="24">
        <f>0</f>
        <v>0</v>
      </c>
      <c r="L39" s="24">
        <f>8872.5</f>
        <v>8872.5</v>
      </c>
      <c r="M39" s="24">
        <f>0</f>
        <v>0</v>
      </c>
      <c r="N39" s="24">
        <f>0</f>
        <v>0</v>
      </c>
      <c r="O39" s="24">
        <f>0</f>
        <v>0</v>
      </c>
      <c r="P39" s="24">
        <f>0</f>
        <v>0</v>
      </c>
      <c r="Q39" s="24">
        <f>0</f>
        <v>0</v>
      </c>
    </row>
    <row r="40" spans="1:17" ht="25.5" customHeight="1" x14ac:dyDescent="0.2">
      <c r="A40" s="18" t="s">
        <v>30</v>
      </c>
      <c r="B40" s="24">
        <f>269162.11</f>
        <v>269162.11</v>
      </c>
      <c r="C40" s="24">
        <f>269162.11</f>
        <v>269162.11</v>
      </c>
      <c r="D40" s="24">
        <f>50000</f>
        <v>50000</v>
      </c>
      <c r="E40" s="24">
        <f>50000</f>
        <v>50000</v>
      </c>
      <c r="F40" s="24">
        <f>0</f>
        <v>0</v>
      </c>
      <c r="G40" s="24">
        <f>0</f>
        <v>0</v>
      </c>
      <c r="H40" s="24">
        <f>0</f>
        <v>0</v>
      </c>
      <c r="I40" s="24">
        <f>0</f>
        <v>0</v>
      </c>
      <c r="J40" s="24">
        <f>0</f>
        <v>0</v>
      </c>
      <c r="K40" s="24">
        <f>0</f>
        <v>0</v>
      </c>
      <c r="L40" s="24">
        <f>41172.5</f>
        <v>41172.5</v>
      </c>
      <c r="M40" s="24">
        <f>177989.61</f>
        <v>177989.61</v>
      </c>
      <c r="N40" s="24">
        <f>0</f>
        <v>0</v>
      </c>
      <c r="O40" s="24">
        <f>0</f>
        <v>0</v>
      </c>
      <c r="P40" s="24">
        <f>0</f>
        <v>0</v>
      </c>
      <c r="Q40" s="24">
        <f>0</f>
        <v>0</v>
      </c>
    </row>
    <row r="41" spans="1:17" ht="30" customHeight="1" x14ac:dyDescent="0.2">
      <c r="A41" s="25" t="s">
        <v>41</v>
      </c>
      <c r="B41" s="23">
        <f>189484139.32</f>
        <v>189484139.31999999</v>
      </c>
      <c r="C41" s="23">
        <f>189484139.32</f>
        <v>189484139.31999999</v>
      </c>
      <c r="D41" s="23">
        <f>133198844.67</f>
        <v>133198844.67</v>
      </c>
      <c r="E41" s="23">
        <f>63452.61</f>
        <v>63452.61</v>
      </c>
      <c r="F41" s="23">
        <f>5227537.6</f>
        <v>5227537.5999999996</v>
      </c>
      <c r="G41" s="23">
        <f>127907854.46</f>
        <v>127907854.45999999</v>
      </c>
      <c r="H41" s="23">
        <f>0</f>
        <v>0</v>
      </c>
      <c r="I41" s="23">
        <f>0</f>
        <v>0</v>
      </c>
      <c r="J41" s="23">
        <f>0</f>
        <v>0</v>
      </c>
      <c r="K41" s="23">
        <f>0</f>
        <v>0</v>
      </c>
      <c r="L41" s="23">
        <f>42618794.17</f>
        <v>42618794.170000002</v>
      </c>
      <c r="M41" s="23">
        <f>12215129.45</f>
        <v>12215129.449999999</v>
      </c>
      <c r="N41" s="23">
        <f>1451371.03</f>
        <v>1451371.03</v>
      </c>
      <c r="O41" s="23">
        <f>0</f>
        <v>0</v>
      </c>
      <c r="P41" s="23">
        <f>0</f>
        <v>0</v>
      </c>
      <c r="Q41" s="23">
        <f>0</f>
        <v>0</v>
      </c>
    </row>
    <row r="42" spans="1:17" ht="25.5" customHeight="1" x14ac:dyDescent="0.2">
      <c r="A42" s="18" t="s">
        <v>31</v>
      </c>
      <c r="B42" s="24">
        <f>54318404.65</f>
        <v>54318404.649999999</v>
      </c>
      <c r="C42" s="24">
        <f>54318404.65</f>
        <v>54318404.649999999</v>
      </c>
      <c r="D42" s="24">
        <f>40795966.98</f>
        <v>40795966.979999997</v>
      </c>
      <c r="E42" s="24">
        <f>0</f>
        <v>0</v>
      </c>
      <c r="F42" s="24">
        <f>3375000</f>
        <v>3375000</v>
      </c>
      <c r="G42" s="24">
        <f>37420966.98</f>
        <v>37420966.979999997</v>
      </c>
      <c r="H42" s="24">
        <f>0</f>
        <v>0</v>
      </c>
      <c r="I42" s="24">
        <f>0</f>
        <v>0</v>
      </c>
      <c r="J42" s="24">
        <f>0</f>
        <v>0</v>
      </c>
      <c r="K42" s="24">
        <f>0</f>
        <v>0</v>
      </c>
      <c r="L42" s="24">
        <f>11454151.01</f>
        <v>11454151.01</v>
      </c>
      <c r="M42" s="24">
        <f>1499965.32</f>
        <v>1499965.32</v>
      </c>
      <c r="N42" s="24">
        <f>568321.34</f>
        <v>568321.34</v>
      </c>
      <c r="O42" s="24">
        <f>0</f>
        <v>0</v>
      </c>
      <c r="P42" s="24">
        <f>0</f>
        <v>0</v>
      </c>
      <c r="Q42" s="24">
        <f>0</f>
        <v>0</v>
      </c>
    </row>
    <row r="43" spans="1:17" ht="25.5" customHeight="1" x14ac:dyDescent="0.2">
      <c r="A43" s="18" t="s">
        <v>32</v>
      </c>
      <c r="B43" s="24">
        <f>135165734.67</f>
        <v>135165734.66999999</v>
      </c>
      <c r="C43" s="24">
        <f>135165734.67</f>
        <v>135165734.66999999</v>
      </c>
      <c r="D43" s="24">
        <f>92402877.69</f>
        <v>92402877.689999998</v>
      </c>
      <c r="E43" s="24">
        <f>63452.61</f>
        <v>63452.61</v>
      </c>
      <c r="F43" s="24">
        <f>1852537.6</f>
        <v>1852537.6</v>
      </c>
      <c r="G43" s="24">
        <f>90486887.48</f>
        <v>90486887.480000004</v>
      </c>
      <c r="H43" s="24">
        <f>0</f>
        <v>0</v>
      </c>
      <c r="I43" s="24">
        <f>0</f>
        <v>0</v>
      </c>
      <c r="J43" s="24">
        <f>0</f>
        <v>0</v>
      </c>
      <c r="K43" s="24">
        <f>0</f>
        <v>0</v>
      </c>
      <c r="L43" s="24">
        <f>31164643.16</f>
        <v>31164643.16</v>
      </c>
      <c r="M43" s="24">
        <f>10715164.13</f>
        <v>10715164.130000001</v>
      </c>
      <c r="N43" s="24">
        <f>883049.69</f>
        <v>883049.69</v>
      </c>
      <c r="O43" s="24">
        <f>0</f>
        <v>0</v>
      </c>
      <c r="P43" s="24">
        <f>0</f>
        <v>0</v>
      </c>
      <c r="Q43" s="24">
        <f>0</f>
        <v>0</v>
      </c>
    </row>
    <row r="44" spans="1:17" ht="30" customHeight="1" x14ac:dyDescent="0.2">
      <c r="A44" s="25" t="s">
        <v>42</v>
      </c>
      <c r="B44" s="23">
        <f>7690676635.92</f>
        <v>7690676635.9200001</v>
      </c>
      <c r="C44" s="23">
        <f>7690676635.92</f>
        <v>7690676635.9200001</v>
      </c>
      <c r="D44" s="23">
        <f>2521649.41</f>
        <v>2521649.41</v>
      </c>
      <c r="E44" s="23">
        <f>20704.15</f>
        <v>20704.150000000001</v>
      </c>
      <c r="F44" s="23">
        <f>2903</f>
        <v>2903</v>
      </c>
      <c r="G44" s="23">
        <f>2498042.26</f>
        <v>2498042.2599999998</v>
      </c>
      <c r="H44" s="23">
        <f>0</f>
        <v>0</v>
      </c>
      <c r="I44" s="23">
        <f>5669231.42</f>
        <v>5669231.4199999999</v>
      </c>
      <c r="J44" s="23">
        <f>7682272680.46</f>
        <v>7682272680.46</v>
      </c>
      <c r="K44" s="23">
        <f>72678.98</f>
        <v>72678.98</v>
      </c>
      <c r="L44" s="23">
        <f>44112.53</f>
        <v>44112.53</v>
      </c>
      <c r="M44" s="23">
        <f>2000</f>
        <v>2000</v>
      </c>
      <c r="N44" s="23">
        <f>94283.12</f>
        <v>94283.12</v>
      </c>
      <c r="O44" s="23">
        <f>0</f>
        <v>0</v>
      </c>
      <c r="P44" s="23">
        <f>0</f>
        <v>0</v>
      </c>
      <c r="Q44" s="23">
        <f>0</f>
        <v>0</v>
      </c>
    </row>
    <row r="45" spans="1:17" ht="25.5" customHeight="1" x14ac:dyDescent="0.2">
      <c r="A45" s="18" t="s">
        <v>33</v>
      </c>
      <c r="B45" s="24">
        <f>2495447.39</f>
        <v>2495447.39</v>
      </c>
      <c r="C45" s="24">
        <f>2495447.39</f>
        <v>2495447.39</v>
      </c>
      <c r="D45" s="24">
        <f>2495447.39</f>
        <v>2495447.39</v>
      </c>
      <c r="E45" s="24">
        <f>0</f>
        <v>0</v>
      </c>
      <c r="F45" s="24">
        <f>0</f>
        <v>0</v>
      </c>
      <c r="G45" s="24">
        <f>2495447.39</f>
        <v>2495447.39</v>
      </c>
      <c r="H45" s="24">
        <f>0</f>
        <v>0</v>
      </c>
      <c r="I45" s="24">
        <f>0</f>
        <v>0</v>
      </c>
      <c r="J45" s="24">
        <f>0</f>
        <v>0</v>
      </c>
      <c r="K45" s="24">
        <f>0</f>
        <v>0</v>
      </c>
      <c r="L45" s="24">
        <f>0</f>
        <v>0</v>
      </c>
      <c r="M45" s="24">
        <f>0</f>
        <v>0</v>
      </c>
      <c r="N45" s="24">
        <f>0</f>
        <v>0</v>
      </c>
      <c r="O45" s="24">
        <f>0</f>
        <v>0</v>
      </c>
      <c r="P45" s="24">
        <f>0</f>
        <v>0</v>
      </c>
      <c r="Q45" s="24">
        <f>0</f>
        <v>0</v>
      </c>
    </row>
    <row r="46" spans="1:17" ht="25.5" customHeight="1" x14ac:dyDescent="0.2">
      <c r="A46" s="18" t="s">
        <v>34</v>
      </c>
      <c r="B46" s="24">
        <f>6481533196.68</f>
        <v>6481533196.6800003</v>
      </c>
      <c r="C46" s="24">
        <f>6481533196.68</f>
        <v>6481533196.6800003</v>
      </c>
      <c r="D46" s="24">
        <f>2785.62</f>
        <v>2785.62</v>
      </c>
      <c r="E46" s="24">
        <f>1365.62</f>
        <v>1365.62</v>
      </c>
      <c r="F46" s="24">
        <f>263</f>
        <v>263</v>
      </c>
      <c r="G46" s="24">
        <f>1157</f>
        <v>1157</v>
      </c>
      <c r="H46" s="24">
        <f>0</f>
        <v>0</v>
      </c>
      <c r="I46" s="24">
        <f>5669231.42</f>
        <v>5669231.4199999999</v>
      </c>
      <c r="J46" s="24">
        <f>6475688298.33</f>
        <v>6475688298.3299999</v>
      </c>
      <c r="K46" s="24">
        <f>64247.93</f>
        <v>64247.93</v>
      </c>
      <c r="L46" s="24">
        <f>14350.26</f>
        <v>14350.26</v>
      </c>
      <c r="M46" s="24">
        <f>0</f>
        <v>0</v>
      </c>
      <c r="N46" s="24">
        <f>94283.12</f>
        <v>94283.12</v>
      </c>
      <c r="O46" s="24">
        <f>0</f>
        <v>0</v>
      </c>
      <c r="P46" s="24">
        <f>0</f>
        <v>0</v>
      </c>
      <c r="Q46" s="24">
        <f>0</f>
        <v>0</v>
      </c>
    </row>
    <row r="47" spans="1:17" ht="25.5" customHeight="1" x14ac:dyDescent="0.2">
      <c r="A47" s="18" t="s">
        <v>35</v>
      </c>
      <c r="B47" s="24">
        <f>1206647991.85</f>
        <v>1206647991.8499999</v>
      </c>
      <c r="C47" s="24">
        <f>1206647991.85</f>
        <v>1206647991.8499999</v>
      </c>
      <c r="D47" s="24">
        <f>23416.4</f>
        <v>23416.400000000001</v>
      </c>
      <c r="E47" s="24">
        <f>19338.53</f>
        <v>19338.53</v>
      </c>
      <c r="F47" s="24">
        <f>2640</f>
        <v>2640</v>
      </c>
      <c r="G47" s="24">
        <f>1437.87</f>
        <v>1437.87</v>
      </c>
      <c r="H47" s="24">
        <f>0</f>
        <v>0</v>
      </c>
      <c r="I47" s="24">
        <f>0</f>
        <v>0</v>
      </c>
      <c r="J47" s="24">
        <f>1206584382.13</f>
        <v>1206584382.1300001</v>
      </c>
      <c r="K47" s="24">
        <f>8431.05</f>
        <v>8431.0499999999993</v>
      </c>
      <c r="L47" s="24">
        <f>29762.27</f>
        <v>29762.27</v>
      </c>
      <c r="M47" s="24">
        <f>2000</f>
        <v>2000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30" customHeight="1" x14ac:dyDescent="0.2">
      <c r="A48" s="25" t="s">
        <v>43</v>
      </c>
      <c r="B48" s="23">
        <f>808685528.45</f>
        <v>808685528.45000005</v>
      </c>
      <c r="C48" s="23">
        <f>807826894.67</f>
        <v>807826894.66999996</v>
      </c>
      <c r="D48" s="23">
        <f>23672396.96</f>
        <v>23672396.960000001</v>
      </c>
      <c r="E48" s="23">
        <f>7537984.48</f>
        <v>7537984.4800000004</v>
      </c>
      <c r="F48" s="23">
        <f>315315.21</f>
        <v>315315.21000000002</v>
      </c>
      <c r="G48" s="23">
        <f>15811978.5</f>
        <v>15811978.5</v>
      </c>
      <c r="H48" s="23">
        <f>7118.77</f>
        <v>7118.77</v>
      </c>
      <c r="I48" s="23">
        <f>0</f>
        <v>0</v>
      </c>
      <c r="J48" s="23">
        <f>3734183.88</f>
        <v>3734183.88</v>
      </c>
      <c r="K48" s="23">
        <f>337392.23</f>
        <v>337392.23</v>
      </c>
      <c r="L48" s="23">
        <f>234765189.9</f>
        <v>234765189.90000001</v>
      </c>
      <c r="M48" s="23">
        <f>542641081.49</f>
        <v>542641081.49000001</v>
      </c>
      <c r="N48" s="23">
        <f>2676650.21</f>
        <v>2676650.21</v>
      </c>
      <c r="O48" s="23">
        <f>858633.78</f>
        <v>858633.78</v>
      </c>
      <c r="P48" s="23">
        <f>264153.29</f>
        <v>264153.28999999998</v>
      </c>
      <c r="Q48" s="23">
        <f>594480.49</f>
        <v>594480.49</v>
      </c>
    </row>
    <row r="49" spans="1:17" ht="25.5" customHeight="1" x14ac:dyDescent="0.2">
      <c r="A49" s="18" t="s">
        <v>36</v>
      </c>
      <c r="B49" s="24">
        <f>160652691.1</f>
        <v>160652691.09999999</v>
      </c>
      <c r="C49" s="24">
        <f>160633293.76</f>
        <v>160633293.75999999</v>
      </c>
      <c r="D49" s="24">
        <f>2592059.97</f>
        <v>2592059.9700000002</v>
      </c>
      <c r="E49" s="24">
        <f>48294.15</f>
        <v>48294.15</v>
      </c>
      <c r="F49" s="24">
        <f>313904.19</f>
        <v>313904.19</v>
      </c>
      <c r="G49" s="24">
        <f>2228021.63</f>
        <v>2228021.63</v>
      </c>
      <c r="H49" s="24">
        <f>1840</f>
        <v>1840</v>
      </c>
      <c r="I49" s="24">
        <f>0</f>
        <v>0</v>
      </c>
      <c r="J49" s="24">
        <f>731558.73</f>
        <v>731558.73</v>
      </c>
      <c r="K49" s="24">
        <f>118624.79</f>
        <v>118624.79</v>
      </c>
      <c r="L49" s="24">
        <f>63568365.29</f>
        <v>63568365.289999999</v>
      </c>
      <c r="M49" s="24">
        <f>92591637.72</f>
        <v>92591637.719999999</v>
      </c>
      <c r="N49" s="24">
        <f>1031047.26</f>
        <v>1031047.26</v>
      </c>
      <c r="O49" s="24">
        <f>19397.34</f>
        <v>19397.34</v>
      </c>
      <c r="P49" s="24">
        <f>19397.34</f>
        <v>19397.34</v>
      </c>
      <c r="Q49" s="24">
        <f>0</f>
        <v>0</v>
      </c>
    </row>
    <row r="50" spans="1:17" ht="25.5" customHeight="1" x14ac:dyDescent="0.2">
      <c r="A50" s="18" t="s">
        <v>37</v>
      </c>
      <c r="B50" s="24">
        <f>648032837.35</f>
        <v>648032837.35000002</v>
      </c>
      <c r="C50" s="24">
        <f>647193600.91</f>
        <v>647193600.90999997</v>
      </c>
      <c r="D50" s="24">
        <f>21080336.99</f>
        <v>21080336.989999998</v>
      </c>
      <c r="E50" s="24">
        <f>7489690.33</f>
        <v>7489690.3300000001</v>
      </c>
      <c r="F50" s="24">
        <f>1411.02</f>
        <v>1411.02</v>
      </c>
      <c r="G50" s="24">
        <f>13583956.87</f>
        <v>13583956.869999999</v>
      </c>
      <c r="H50" s="24">
        <f>5278.77</f>
        <v>5278.77</v>
      </c>
      <c r="I50" s="24">
        <f>0</f>
        <v>0</v>
      </c>
      <c r="J50" s="24">
        <f>3002625.15</f>
        <v>3002625.15</v>
      </c>
      <c r="K50" s="24">
        <f>218767.44</f>
        <v>218767.44</v>
      </c>
      <c r="L50" s="24">
        <f>171196824.61</f>
        <v>171196824.61000001</v>
      </c>
      <c r="M50" s="24">
        <f>450049443.77</f>
        <v>450049443.76999998</v>
      </c>
      <c r="N50" s="24">
        <f>1645602.95</f>
        <v>1645602.95</v>
      </c>
      <c r="O50" s="24">
        <f>839236.44</f>
        <v>839236.44</v>
      </c>
      <c r="P50" s="24">
        <f>244755.95</f>
        <v>244755.95</v>
      </c>
      <c r="Q50" s="24">
        <f>594480.49</f>
        <v>594480.49</v>
      </c>
    </row>
    <row r="51" spans="1:17" ht="30" customHeight="1" x14ac:dyDescent="0.2">
      <c r="A51" s="25" t="s">
        <v>44</v>
      </c>
      <c r="B51" s="23">
        <f>694616628.14</f>
        <v>694616628.13999999</v>
      </c>
      <c r="C51" s="23">
        <f>694603290.95</f>
        <v>694603290.95000005</v>
      </c>
      <c r="D51" s="23">
        <f>215118697.98</f>
        <v>215118697.97999999</v>
      </c>
      <c r="E51" s="23">
        <f>26306968.22</f>
        <v>26306968.219999999</v>
      </c>
      <c r="F51" s="23">
        <f>1837410.22</f>
        <v>1837410.22</v>
      </c>
      <c r="G51" s="23">
        <f>179615713.47</f>
        <v>179615713.47</v>
      </c>
      <c r="H51" s="23">
        <f>7358606.07</f>
        <v>7358606.0700000003</v>
      </c>
      <c r="I51" s="23">
        <f>0</f>
        <v>0</v>
      </c>
      <c r="J51" s="23">
        <f>265782.37</f>
        <v>265782.37</v>
      </c>
      <c r="K51" s="23">
        <f>8641794.53</f>
        <v>8641794.5299999993</v>
      </c>
      <c r="L51" s="23">
        <f>382420140.61</f>
        <v>382420140.61000001</v>
      </c>
      <c r="M51" s="23">
        <f>85791925.03</f>
        <v>85791925.030000001</v>
      </c>
      <c r="N51" s="23">
        <f>2364950.43</f>
        <v>2364950.4300000002</v>
      </c>
      <c r="O51" s="23">
        <f>13337.19</f>
        <v>13337.19</v>
      </c>
      <c r="P51" s="23">
        <f>8537.19</f>
        <v>8537.19</v>
      </c>
      <c r="Q51" s="23">
        <f>4800</f>
        <v>4800</v>
      </c>
    </row>
    <row r="52" spans="1:17" ht="31.5" customHeight="1" x14ac:dyDescent="0.2">
      <c r="A52" s="18" t="s">
        <v>38</v>
      </c>
      <c r="B52" s="24">
        <f>72103499.36</f>
        <v>72103499.359999999</v>
      </c>
      <c r="C52" s="24">
        <f>72090642.17</f>
        <v>72090642.170000002</v>
      </c>
      <c r="D52" s="24">
        <f>27296838.1</f>
        <v>27296838.100000001</v>
      </c>
      <c r="E52" s="24">
        <f>1002339.13</f>
        <v>1002339.13</v>
      </c>
      <c r="F52" s="24">
        <f>196982.17</f>
        <v>196982.17</v>
      </c>
      <c r="G52" s="24">
        <f>24696007.18</f>
        <v>24696007.18</v>
      </c>
      <c r="H52" s="24">
        <f>1401509.62</f>
        <v>1401509.62</v>
      </c>
      <c r="I52" s="24">
        <f>0</f>
        <v>0</v>
      </c>
      <c r="J52" s="24">
        <f>153187.6</f>
        <v>153187.6</v>
      </c>
      <c r="K52" s="24">
        <f>195880.66</f>
        <v>195880.66</v>
      </c>
      <c r="L52" s="24">
        <f>22731470.26</f>
        <v>22731470.260000002</v>
      </c>
      <c r="M52" s="24">
        <f>20630900.17</f>
        <v>20630900.170000002</v>
      </c>
      <c r="N52" s="24">
        <f>1082365.38</f>
        <v>1082365.3799999999</v>
      </c>
      <c r="O52" s="24">
        <f>12857.19</f>
        <v>12857.19</v>
      </c>
      <c r="P52" s="24">
        <f>8537.19</f>
        <v>8537.19</v>
      </c>
      <c r="Q52" s="24">
        <f>4320</f>
        <v>4320</v>
      </c>
    </row>
    <row r="53" spans="1:17" ht="35.25" customHeight="1" x14ac:dyDescent="0.2">
      <c r="A53" s="18" t="s">
        <v>80</v>
      </c>
      <c r="B53" s="24">
        <f>951254.37</f>
        <v>951254.37</v>
      </c>
      <c r="C53" s="24">
        <f>951254.37</f>
        <v>951254.37</v>
      </c>
      <c r="D53" s="24">
        <f>838568.4</f>
        <v>838568.4</v>
      </c>
      <c r="E53" s="24">
        <f>424449.95</f>
        <v>424449.95</v>
      </c>
      <c r="F53" s="24">
        <f>68.92</f>
        <v>68.92</v>
      </c>
      <c r="G53" s="24">
        <f>191844.11</f>
        <v>191844.11</v>
      </c>
      <c r="H53" s="24">
        <f>222205.42</f>
        <v>222205.42</v>
      </c>
      <c r="I53" s="24">
        <f>0</f>
        <v>0</v>
      </c>
      <c r="J53" s="24">
        <f>0</f>
        <v>0</v>
      </c>
      <c r="K53" s="24">
        <f>1921.01</f>
        <v>1921.01</v>
      </c>
      <c r="L53" s="24">
        <f>6595.16</f>
        <v>6595.16</v>
      </c>
      <c r="M53" s="24">
        <f>102952.01</f>
        <v>102952.01</v>
      </c>
      <c r="N53" s="24">
        <f>1217.79</f>
        <v>1217.79</v>
      </c>
      <c r="O53" s="24">
        <f>0</f>
        <v>0</v>
      </c>
      <c r="P53" s="24">
        <f>0</f>
        <v>0</v>
      </c>
      <c r="Q53" s="24">
        <f>0</f>
        <v>0</v>
      </c>
    </row>
    <row r="54" spans="1:17" ht="31.5" customHeight="1" x14ac:dyDescent="0.2">
      <c r="A54" s="18" t="s">
        <v>39</v>
      </c>
      <c r="B54" s="24">
        <f>621561874.41</f>
        <v>621561874.40999997</v>
      </c>
      <c r="C54" s="24">
        <f>621561394.41</f>
        <v>621561394.40999997</v>
      </c>
      <c r="D54" s="24">
        <f>186983291.48</f>
        <v>186983291.47999999</v>
      </c>
      <c r="E54" s="24">
        <f>24880179.14</f>
        <v>24880179.140000001</v>
      </c>
      <c r="F54" s="24">
        <f>1640359.13</f>
        <v>1640359.13</v>
      </c>
      <c r="G54" s="24">
        <f>154727862.18</f>
        <v>154727862.18000001</v>
      </c>
      <c r="H54" s="24">
        <f>5734891.03</f>
        <v>5734891.0300000003</v>
      </c>
      <c r="I54" s="24">
        <f>0</f>
        <v>0</v>
      </c>
      <c r="J54" s="24">
        <f>112594.77</f>
        <v>112594.77</v>
      </c>
      <c r="K54" s="24">
        <f>8443992.86</f>
        <v>8443992.8599999994</v>
      </c>
      <c r="L54" s="24">
        <f>359682075.19</f>
        <v>359682075.19</v>
      </c>
      <c r="M54" s="24">
        <f>65058072.85</f>
        <v>65058072.850000001</v>
      </c>
      <c r="N54" s="24">
        <f>1281367.26</f>
        <v>1281367.26</v>
      </c>
      <c r="O54" s="24">
        <f>480</f>
        <v>480</v>
      </c>
      <c r="P54" s="24">
        <f>0</f>
        <v>0</v>
      </c>
      <c r="Q54" s="24">
        <f>480</f>
        <v>480</v>
      </c>
    </row>
    <row r="63" spans="1:17" ht="66" customHeight="1" x14ac:dyDescent="0.2">
      <c r="A63" s="47" t="str">
        <f>CONCATENATE("Informacja z wykonania budżetów powiatów za   ",$C$90," ",$B$91," roku    ",$B$93,"")</f>
        <v xml:space="preserve">Informacja z wykonania budżetów powiatów za   III Kwartały 2023 roku    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</row>
    <row r="64" spans="1:17" ht="13.5" customHeight="1" x14ac:dyDescent="0.2">
      <c r="B64" s="48" t="s">
        <v>2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</row>
    <row r="66" spans="2:12" ht="13.5" customHeight="1" x14ac:dyDescent="0.2">
      <c r="B66" s="76" t="s">
        <v>0</v>
      </c>
      <c r="C66" s="77"/>
      <c r="D66" s="77"/>
      <c r="E66" s="78"/>
      <c r="F66" s="56" t="s">
        <v>68</v>
      </c>
      <c r="G66" s="33" t="s">
        <v>74</v>
      </c>
      <c r="H66" s="60"/>
      <c r="I66" s="60"/>
      <c r="J66" s="60"/>
      <c r="K66" s="60"/>
      <c r="L66" s="61"/>
    </row>
    <row r="67" spans="2:12" ht="13.5" customHeight="1" x14ac:dyDescent="0.2">
      <c r="B67" s="79"/>
      <c r="C67" s="80"/>
      <c r="D67" s="80"/>
      <c r="E67" s="81"/>
      <c r="F67" s="57"/>
      <c r="G67" s="59" t="s">
        <v>69</v>
      </c>
      <c r="H67" s="32" t="s">
        <v>66</v>
      </c>
      <c r="I67" s="32" t="s">
        <v>67</v>
      </c>
      <c r="J67" s="32" t="s">
        <v>70</v>
      </c>
      <c r="K67" s="32" t="s">
        <v>71</v>
      </c>
      <c r="L67" s="36" t="s">
        <v>72</v>
      </c>
    </row>
    <row r="68" spans="2:12" ht="13.5" customHeight="1" x14ac:dyDescent="0.2">
      <c r="B68" s="79"/>
      <c r="C68" s="80"/>
      <c r="D68" s="80"/>
      <c r="E68" s="81"/>
      <c r="F68" s="57"/>
      <c r="G68" s="59"/>
      <c r="H68" s="32"/>
      <c r="I68" s="32"/>
      <c r="J68" s="32"/>
      <c r="K68" s="32"/>
      <c r="L68" s="36"/>
    </row>
    <row r="69" spans="2:12" ht="11.25" customHeight="1" x14ac:dyDescent="0.2">
      <c r="B69" s="79"/>
      <c r="C69" s="80"/>
      <c r="D69" s="80"/>
      <c r="E69" s="81"/>
      <c r="F69" s="57"/>
      <c r="G69" s="59"/>
      <c r="H69" s="32"/>
      <c r="I69" s="32"/>
      <c r="J69" s="32"/>
      <c r="K69" s="32"/>
      <c r="L69" s="36"/>
    </row>
    <row r="70" spans="2:12" ht="11.25" customHeight="1" x14ac:dyDescent="0.2">
      <c r="B70" s="82"/>
      <c r="C70" s="83"/>
      <c r="D70" s="83"/>
      <c r="E70" s="84"/>
      <c r="F70" s="58"/>
      <c r="G70" s="59"/>
      <c r="H70" s="32"/>
      <c r="I70" s="32"/>
      <c r="J70" s="32"/>
      <c r="K70" s="32"/>
      <c r="L70" s="36"/>
    </row>
    <row r="71" spans="2:12" ht="11.25" customHeight="1" x14ac:dyDescent="0.2">
      <c r="B71" s="32">
        <v>1</v>
      </c>
      <c r="C71" s="32"/>
      <c r="D71" s="32"/>
      <c r="E71" s="32"/>
      <c r="F71" s="3">
        <v>2</v>
      </c>
      <c r="G71" s="3">
        <v>3</v>
      </c>
      <c r="H71" s="3">
        <v>4</v>
      </c>
      <c r="I71" s="3">
        <v>5</v>
      </c>
      <c r="J71" s="3">
        <v>6</v>
      </c>
      <c r="K71" s="3">
        <v>7</v>
      </c>
      <c r="L71" s="3">
        <v>8</v>
      </c>
    </row>
    <row r="72" spans="2:12" ht="12.75" customHeight="1" x14ac:dyDescent="0.2">
      <c r="B72" s="32"/>
      <c r="C72" s="32"/>
      <c r="D72" s="32"/>
      <c r="E72" s="32"/>
      <c r="F72" s="33" t="s">
        <v>76</v>
      </c>
      <c r="G72" s="34"/>
      <c r="H72" s="34"/>
      <c r="I72" s="34"/>
      <c r="J72" s="34"/>
      <c r="K72" s="34"/>
      <c r="L72" s="35"/>
    </row>
    <row r="73" spans="2:12" ht="33.75" customHeight="1" x14ac:dyDescent="0.2">
      <c r="B73" s="53" t="s">
        <v>53</v>
      </c>
      <c r="C73" s="54"/>
      <c r="D73" s="54"/>
      <c r="E73" s="55"/>
      <c r="F73" s="26">
        <f>523298461.3</f>
        <v>523298461.30000001</v>
      </c>
      <c r="G73" s="26">
        <f>296867985.74</f>
        <v>296867985.74000001</v>
      </c>
      <c r="H73" s="26">
        <f>18981756.05</f>
        <v>18981756.050000001</v>
      </c>
      <c r="I73" s="26">
        <f>37475650.21</f>
        <v>37475650.210000001</v>
      </c>
      <c r="J73" s="26">
        <f>217875255.96</f>
        <v>217875255.96000001</v>
      </c>
      <c r="K73" s="26">
        <f>22535323.52</f>
        <v>22535323.52</v>
      </c>
      <c r="L73" s="26">
        <f>226430475.56</f>
        <v>226430475.56</v>
      </c>
    </row>
    <row r="74" spans="2:12" ht="33.75" customHeight="1" x14ac:dyDescent="0.2">
      <c r="B74" s="53" t="s">
        <v>54</v>
      </c>
      <c r="C74" s="54"/>
      <c r="D74" s="54"/>
      <c r="E74" s="55"/>
      <c r="F74" s="26">
        <f>0</f>
        <v>0</v>
      </c>
      <c r="G74" s="26">
        <f>0</f>
        <v>0</v>
      </c>
      <c r="H74" s="26">
        <f>0</f>
        <v>0</v>
      </c>
      <c r="I74" s="26">
        <f>0</f>
        <v>0</v>
      </c>
      <c r="J74" s="26">
        <f>0</f>
        <v>0</v>
      </c>
      <c r="K74" s="26">
        <f>0</f>
        <v>0</v>
      </c>
      <c r="L74" s="26">
        <f>0</f>
        <v>0</v>
      </c>
    </row>
    <row r="75" spans="2:12" ht="33.75" customHeight="1" x14ac:dyDescent="0.2">
      <c r="B75" s="53" t="s">
        <v>55</v>
      </c>
      <c r="C75" s="54"/>
      <c r="D75" s="54"/>
      <c r="E75" s="55"/>
      <c r="F75" s="26">
        <f>40266147.57</f>
        <v>40266147.57</v>
      </c>
      <c r="G75" s="26">
        <f>10432336.09</f>
        <v>10432336.09</v>
      </c>
      <c r="H75" s="26">
        <f>0</f>
        <v>0</v>
      </c>
      <c r="I75" s="26">
        <f>0</f>
        <v>0</v>
      </c>
      <c r="J75" s="26">
        <f>10432336.09</f>
        <v>10432336.09</v>
      </c>
      <c r="K75" s="26">
        <f>0</f>
        <v>0</v>
      </c>
      <c r="L75" s="26">
        <f>29833811.48</f>
        <v>29833811.48</v>
      </c>
    </row>
    <row r="76" spans="2:12" ht="22.5" customHeight="1" x14ac:dyDescent="0.2">
      <c r="B76" s="53" t="s">
        <v>56</v>
      </c>
      <c r="C76" s="54"/>
      <c r="D76" s="54"/>
      <c r="E76" s="55"/>
      <c r="F76" s="26">
        <f>32927606.67</f>
        <v>32927606.670000002</v>
      </c>
      <c r="G76" s="26">
        <f>16594790.12</f>
        <v>16594790.119999999</v>
      </c>
      <c r="H76" s="26">
        <f>0</f>
        <v>0</v>
      </c>
      <c r="I76" s="26">
        <f>0</f>
        <v>0</v>
      </c>
      <c r="J76" s="26">
        <f>16594790.12</f>
        <v>16594790.119999999</v>
      </c>
      <c r="K76" s="26">
        <f>0</f>
        <v>0</v>
      </c>
      <c r="L76" s="26">
        <f>16332816.55</f>
        <v>16332816.550000001</v>
      </c>
    </row>
    <row r="77" spans="2:12" ht="33.75" customHeight="1" x14ac:dyDescent="0.2">
      <c r="B77" s="53" t="s">
        <v>57</v>
      </c>
      <c r="C77" s="54"/>
      <c r="D77" s="54"/>
      <c r="E77" s="55"/>
      <c r="F77" s="26">
        <f>17539034.85</f>
        <v>17539034.850000001</v>
      </c>
      <c r="G77" s="26">
        <f>10972430.71</f>
        <v>10972430.710000001</v>
      </c>
      <c r="H77" s="26">
        <f>0</f>
        <v>0</v>
      </c>
      <c r="I77" s="26">
        <f>0</f>
        <v>0</v>
      </c>
      <c r="J77" s="26">
        <f>10972430.71</f>
        <v>10972430.710000001</v>
      </c>
      <c r="K77" s="26">
        <f>0</f>
        <v>0</v>
      </c>
      <c r="L77" s="26">
        <f>6566604.14</f>
        <v>6566604.1399999997</v>
      </c>
    </row>
    <row r="78" spans="2:12" ht="33.75" customHeight="1" x14ac:dyDescent="0.2">
      <c r="B78" s="53" t="s">
        <v>58</v>
      </c>
      <c r="C78" s="54"/>
      <c r="D78" s="54"/>
      <c r="E78" s="55"/>
      <c r="F78" s="26">
        <f>629166.5</f>
        <v>629166.5</v>
      </c>
      <c r="G78" s="26">
        <f>329166.5</f>
        <v>329166.5</v>
      </c>
      <c r="H78" s="26">
        <f>0</f>
        <v>0</v>
      </c>
      <c r="I78" s="26">
        <f>0</f>
        <v>0</v>
      </c>
      <c r="J78" s="26">
        <f>329166.5</f>
        <v>329166.5</v>
      </c>
      <c r="K78" s="26">
        <f>0</f>
        <v>0</v>
      </c>
      <c r="L78" s="26">
        <f>300000</f>
        <v>300000</v>
      </c>
    </row>
    <row r="79" spans="2:12" ht="22.5" customHeight="1" x14ac:dyDescent="0.2">
      <c r="B79" s="53" t="s">
        <v>59</v>
      </c>
      <c r="C79" s="54"/>
      <c r="D79" s="54"/>
      <c r="E79" s="55"/>
      <c r="F79" s="26">
        <f>0</f>
        <v>0</v>
      </c>
      <c r="G79" s="26">
        <f>0</f>
        <v>0</v>
      </c>
      <c r="H79" s="26">
        <f>0</f>
        <v>0</v>
      </c>
      <c r="I79" s="26">
        <f>0</f>
        <v>0</v>
      </c>
      <c r="J79" s="26">
        <f>0</f>
        <v>0</v>
      </c>
      <c r="K79" s="26">
        <f>0</f>
        <v>0</v>
      </c>
      <c r="L79" s="26">
        <f>0</f>
        <v>0</v>
      </c>
    </row>
    <row r="82" spans="1:13" ht="75" customHeight="1" x14ac:dyDescent="0.2">
      <c r="A82" s="47" t="str">
        <f>CONCATENATE("Informacja z wykonania budżetów powiatów za   ",$C$90," ",$B$91," roku    ",$B$93,"")</f>
        <v xml:space="preserve">Informacja z wykonania budżetów powiatów za   III Kwartały 2023 roku    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</row>
    <row r="83" spans="1:13" ht="13.5" customHeight="1" x14ac:dyDescent="0.2">
      <c r="B83" s="4"/>
    </row>
    <row r="84" spans="1:13" ht="13.5" customHeight="1" x14ac:dyDescent="0.2">
      <c r="B84" s="5"/>
      <c r="C84" s="33"/>
      <c r="D84" s="60"/>
      <c r="E84" s="60"/>
      <c r="F84" s="61"/>
      <c r="G84" s="33" t="s">
        <v>3</v>
      </c>
      <c r="H84" s="61"/>
      <c r="I84" s="33" t="s">
        <v>4</v>
      </c>
      <c r="J84" s="61"/>
      <c r="K84" s="5"/>
    </row>
    <row r="85" spans="1:13" ht="13.5" customHeight="1" x14ac:dyDescent="0.2">
      <c r="B85" s="6"/>
      <c r="C85" s="66" t="s">
        <v>5</v>
      </c>
      <c r="D85" s="67"/>
      <c r="E85" s="67"/>
      <c r="F85" s="68"/>
      <c r="G85" s="62">
        <f>240</f>
        <v>240</v>
      </c>
      <c r="H85" s="63"/>
      <c r="I85" s="64">
        <f>2038208587.25</f>
        <v>2038208587.25</v>
      </c>
      <c r="J85" s="65"/>
      <c r="K85" s="7"/>
    </row>
    <row r="86" spans="1:13" ht="13.5" customHeight="1" x14ac:dyDescent="0.2">
      <c r="B86" s="6"/>
      <c r="C86" s="69" t="s">
        <v>6</v>
      </c>
      <c r="D86" s="70"/>
      <c r="E86" s="70"/>
      <c r="F86" s="71"/>
      <c r="G86" s="72">
        <f>74</f>
        <v>74</v>
      </c>
      <c r="H86" s="73"/>
      <c r="I86" s="74">
        <f>-357174199.29</f>
        <v>-357174199.29000002</v>
      </c>
      <c r="J86" s="75"/>
      <c r="K86" s="7"/>
    </row>
    <row r="87" spans="1:13" ht="13.5" customHeight="1" x14ac:dyDescent="0.2">
      <c r="B87" s="6"/>
      <c r="C87" s="66" t="s">
        <v>7</v>
      </c>
      <c r="D87" s="67"/>
      <c r="E87" s="67"/>
      <c r="F87" s="68"/>
      <c r="G87" s="62">
        <f>0</f>
        <v>0</v>
      </c>
      <c r="H87" s="63"/>
      <c r="I87" s="64">
        <f>0</f>
        <v>0</v>
      </c>
      <c r="J87" s="65"/>
      <c r="K87" s="7"/>
    </row>
    <row r="90" spans="1:13" ht="13.5" customHeight="1" x14ac:dyDescent="0.2">
      <c r="A90" s="8" t="s">
        <v>8</v>
      </c>
      <c r="B90" s="8">
        <f>3</f>
        <v>3</v>
      </c>
      <c r="C90" s="8" t="str">
        <f>IF(B90=1,"I Kwartał",IF(B90=2,"II Kwartały",IF(B90=3,"III Kwartały",IF(B90=4,"IV Kwartały","-"))))</f>
        <v>III Kwartały</v>
      </c>
    </row>
    <row r="91" spans="1:13" ht="13.5" customHeight="1" x14ac:dyDescent="0.2">
      <c r="A91" s="8" t="s">
        <v>9</v>
      </c>
      <c r="B91" s="8">
        <f>2023</f>
        <v>2023</v>
      </c>
      <c r="C91" s="9"/>
    </row>
    <row r="92" spans="1:13" ht="13.5" customHeight="1" x14ac:dyDescent="0.2">
      <c r="A92" s="8" t="s">
        <v>10</v>
      </c>
      <c r="B92" s="10" t="str">
        <f>"Nov 14 2023 12:00AM"</f>
        <v>Nov 14 2023 12:00AM</v>
      </c>
      <c r="C92" s="9"/>
    </row>
    <row r="93" spans="1:13" ht="13.5" customHeight="1" x14ac:dyDescent="0.2">
      <c r="A93" s="14" t="s">
        <v>75</v>
      </c>
      <c r="B93" s="10" t="str">
        <f>""</f>
        <v/>
      </c>
    </row>
  </sheetData>
  <mergeCells count="79">
    <mergeCell ref="O6:Q6"/>
    <mergeCell ref="O7:O10"/>
    <mergeCell ref="A63:M63"/>
    <mergeCell ref="L32:L35"/>
    <mergeCell ref="P32:P35"/>
    <mergeCell ref="Q32:Q35"/>
    <mergeCell ref="N32:N35"/>
    <mergeCell ref="O32:O35"/>
    <mergeCell ref="D32:D35"/>
    <mergeCell ref="H7:H10"/>
    <mergeCell ref="B78:E78"/>
    <mergeCell ref="I85:J85"/>
    <mergeCell ref="B64:M64"/>
    <mergeCell ref="I84:J84"/>
    <mergeCell ref="B72:E72"/>
    <mergeCell ref="B66:E70"/>
    <mergeCell ref="B79:E79"/>
    <mergeCell ref="A82:M82"/>
    <mergeCell ref="B75:E75"/>
    <mergeCell ref="B76:E76"/>
    <mergeCell ref="G87:H87"/>
    <mergeCell ref="I87:J87"/>
    <mergeCell ref="C84:F84"/>
    <mergeCell ref="C85:F85"/>
    <mergeCell ref="C86:F86"/>
    <mergeCell ref="C87:F87"/>
    <mergeCell ref="G85:H85"/>
    <mergeCell ref="G84:H84"/>
    <mergeCell ref="G86:H86"/>
    <mergeCell ref="I86:J86"/>
    <mergeCell ref="B77:E77"/>
    <mergeCell ref="B74:E74"/>
    <mergeCell ref="M32:M35"/>
    <mergeCell ref="B73:E73"/>
    <mergeCell ref="F66:F70"/>
    <mergeCell ref="G67:G70"/>
    <mergeCell ref="G66:L66"/>
    <mergeCell ref="A1:M1"/>
    <mergeCell ref="C5:M5"/>
    <mergeCell ref="A3:M3"/>
    <mergeCell ref="K7:K10"/>
    <mergeCell ref="C7:C10"/>
    <mergeCell ref="B6:B10"/>
    <mergeCell ref="A6:A10"/>
    <mergeCell ref="C6:N6"/>
    <mergeCell ref="D7:D10"/>
    <mergeCell ref="E7:E10"/>
    <mergeCell ref="Q7:Q10"/>
    <mergeCell ref="C31:N31"/>
    <mergeCell ref="L7:L10"/>
    <mergeCell ref="M7:M10"/>
    <mergeCell ref="N7:N10"/>
    <mergeCell ref="P7:P10"/>
    <mergeCell ref="A27:M27"/>
    <mergeCell ref="O31:Q31"/>
    <mergeCell ref="A29:M29"/>
    <mergeCell ref="G7:G10"/>
    <mergeCell ref="F7:F10"/>
    <mergeCell ref="I7:I10"/>
    <mergeCell ref="J7:J10"/>
    <mergeCell ref="A31:A35"/>
    <mergeCell ref="C32:C35"/>
    <mergeCell ref="E32:E35"/>
    <mergeCell ref="B31:B35"/>
    <mergeCell ref="K67:K70"/>
    <mergeCell ref="H67:H70"/>
    <mergeCell ref="I67:I70"/>
    <mergeCell ref="J67:J70"/>
    <mergeCell ref="B12:Q12"/>
    <mergeCell ref="B37:Q37"/>
    <mergeCell ref="B71:E71"/>
    <mergeCell ref="F72:L72"/>
    <mergeCell ref="L67:L70"/>
    <mergeCell ref="F32:F35"/>
    <mergeCell ref="G32:G35"/>
    <mergeCell ref="H32:H35"/>
    <mergeCell ref="K32:K35"/>
    <mergeCell ref="I32:I35"/>
    <mergeCell ref="J32:J35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6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2009-11-20T13:10:55Z</cp:lastPrinted>
  <dcterms:created xsi:type="dcterms:W3CDTF">2001-05-17T08:58:03Z</dcterms:created>
  <dcterms:modified xsi:type="dcterms:W3CDTF">2023-11-27T09:47:45Z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2023-11-27T10:47:43.2757415+01:00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GRN-82f3b935-28db-4914-be4b-fbca279ec89f</vt:lpwstr>
  </property>
  <property fmtid="{D5CDD505-2E9C-101B-9397-08002B2CF9AE}" pid="7" name="MFHash">
    <vt:lpwstr>OEWRRcLVzqJEBgvSaL77wUdM6ci0UkKWrPfg6hoBar4=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