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BDEDF156-8F55-4503-A65B-C42FE3150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doch_wyd!$B$1:$L$106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6" i="4" l="1"/>
  <c r="C105" i="4"/>
  <c r="C104" i="4"/>
  <c r="C103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F67" i="4" l="1"/>
  <c r="K75" i="4"/>
  <c r="K86" i="4"/>
  <c r="K16" i="4"/>
  <c r="D35" i="4"/>
  <c r="K57" i="4"/>
  <c r="K85" i="4"/>
  <c r="K37" i="4"/>
  <c r="C12" i="4"/>
  <c r="K17" i="4"/>
  <c r="D12" i="4"/>
  <c r="D11" i="4" s="1"/>
  <c r="D6" i="4" s="1"/>
  <c r="J6" i="4" s="1"/>
  <c r="K18" i="4"/>
  <c r="C61" i="4"/>
  <c r="C54" i="4"/>
  <c r="K51" i="4"/>
  <c r="K7" i="4"/>
  <c r="I67" i="4"/>
  <c r="K79" i="4"/>
  <c r="K30" i="4"/>
  <c r="C67" i="4"/>
  <c r="K66" i="4"/>
  <c r="K8" i="4"/>
  <c r="G54" i="4"/>
  <c r="G60" i="4" s="1"/>
  <c r="E67" i="4"/>
  <c r="K34" i="4"/>
  <c r="K28" i="4"/>
  <c r="K74" i="4"/>
  <c r="K53" i="4"/>
  <c r="D103" i="4"/>
  <c r="G67" i="4"/>
  <c r="J36" i="4"/>
  <c r="J17" i="4"/>
  <c r="J5" i="4"/>
  <c r="J25" i="4"/>
  <c r="D61" i="4"/>
  <c r="J21" i="4"/>
  <c r="J28" i="4"/>
  <c r="J33" i="4"/>
  <c r="J16" i="4"/>
  <c r="J19" i="4"/>
  <c r="J20" i="4"/>
  <c r="J35" i="4"/>
  <c r="J29" i="4"/>
  <c r="J41" i="4"/>
  <c r="J13" i="4"/>
  <c r="J27" i="4"/>
  <c r="J26" i="4"/>
  <c r="J22" i="4"/>
  <c r="J7" i="4"/>
  <c r="J23" i="4"/>
  <c r="D40" i="4"/>
  <c r="D42" i="4" s="1"/>
  <c r="J14" i="4"/>
  <c r="J31" i="4"/>
  <c r="J24" i="4"/>
  <c r="J38" i="4"/>
  <c r="J30" i="4"/>
  <c r="J34" i="4"/>
  <c r="J37" i="4"/>
  <c r="J9" i="4"/>
  <c r="J39" i="4"/>
  <c r="J8" i="4"/>
  <c r="J15" i="4"/>
  <c r="J32" i="4"/>
  <c r="J18" i="4"/>
  <c r="K29" i="4"/>
  <c r="H67" i="4"/>
  <c r="K87" i="4"/>
  <c r="J52" i="4"/>
  <c r="J59" i="4"/>
  <c r="J57" i="4"/>
  <c r="D54" i="4"/>
  <c r="D60" i="4" s="1"/>
  <c r="J60" i="4" s="1"/>
  <c r="J55" i="4"/>
  <c r="J53" i="4"/>
  <c r="J51" i="4"/>
  <c r="J58" i="4"/>
  <c r="J56" i="4"/>
  <c r="E54" i="4"/>
  <c r="E60" i="4" s="1"/>
  <c r="K22" i="4"/>
  <c r="F54" i="4"/>
  <c r="F60" i="4" s="1"/>
  <c r="K80" i="4"/>
  <c r="K9" i="4"/>
  <c r="K23" i="4"/>
  <c r="H54" i="4"/>
  <c r="H60" i="4" s="1"/>
  <c r="K59" i="4"/>
  <c r="J75" i="4"/>
  <c r="J77" i="4"/>
  <c r="J79" i="4"/>
  <c r="J72" i="4"/>
  <c r="J78" i="4"/>
  <c r="J74" i="4"/>
  <c r="J81" i="4"/>
  <c r="J80" i="4"/>
  <c r="J73" i="4"/>
  <c r="J82" i="4"/>
  <c r="J76" i="4"/>
  <c r="K81" i="4"/>
  <c r="K56" i="4"/>
  <c r="K73" i="4"/>
  <c r="K24" i="4"/>
  <c r="C35" i="4"/>
  <c r="K35" i="4" s="1"/>
  <c r="K36" i="4"/>
  <c r="K13" i="4"/>
  <c r="K19" i="4"/>
  <c r="K25" i="4"/>
  <c r="K31" i="4"/>
  <c r="K38" i="4"/>
  <c r="I54" i="4"/>
  <c r="I60" i="4" s="1"/>
  <c r="K58" i="4"/>
  <c r="K76" i="4"/>
  <c r="K82" i="4"/>
  <c r="K88" i="4"/>
  <c r="K52" i="4"/>
  <c r="K14" i="4"/>
  <c r="K20" i="4"/>
  <c r="K26" i="4"/>
  <c r="K32" i="4"/>
  <c r="K39" i="4"/>
  <c r="K65" i="4"/>
  <c r="K77" i="4"/>
  <c r="K83" i="4"/>
  <c r="K55" i="4"/>
  <c r="J66" i="4"/>
  <c r="J65" i="4"/>
  <c r="D67" i="4"/>
  <c r="J67" i="4" s="1"/>
  <c r="J87" i="4"/>
  <c r="J88" i="4"/>
  <c r="J85" i="4"/>
  <c r="J83" i="4"/>
  <c r="J84" i="4"/>
  <c r="J86" i="4"/>
  <c r="C40" i="4"/>
  <c r="K5" i="4"/>
  <c r="K15" i="4"/>
  <c r="K21" i="4"/>
  <c r="K27" i="4"/>
  <c r="K33" i="4"/>
  <c r="K41" i="4"/>
  <c r="K72" i="4"/>
  <c r="K78" i="4"/>
  <c r="K84" i="4"/>
  <c r="J40" i="4" l="1"/>
  <c r="J54" i="4"/>
  <c r="D62" i="4"/>
  <c r="K67" i="4"/>
  <c r="J42" i="4"/>
  <c r="J11" i="4"/>
  <c r="J12" i="4"/>
  <c r="C60" i="4"/>
  <c r="K60" i="4" s="1"/>
  <c r="K54" i="4"/>
  <c r="D10" i="4"/>
  <c r="J10" i="4" s="1"/>
  <c r="L8" i="4"/>
  <c r="L9" i="4"/>
  <c r="L6" i="4"/>
  <c r="L7" i="4"/>
  <c r="C42" i="4"/>
  <c r="K40" i="4"/>
  <c r="C11" i="4"/>
  <c r="K12" i="4"/>
  <c r="B44" i="4"/>
  <c r="B68" i="4"/>
  <c r="B1" i="4"/>
  <c r="L10" i="4" l="1"/>
  <c r="C62" i="4"/>
  <c r="K42" i="4"/>
  <c r="K11" i="4"/>
  <c r="C6" i="4"/>
  <c r="C10" i="4" l="1"/>
  <c r="K10" i="4" s="1"/>
  <c r="K6" i="4"/>
</calcChain>
</file>

<file path=xl/sharedStrings.xml><?xml version="1.0" encoding="utf-8"?>
<sst xmlns="http://schemas.openxmlformats.org/spreadsheetml/2006/main" count="400" uniqueCount="104">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</sst>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5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5" fontId="33" fillId="0" borderId="10" xfId="0" applyNumberFormat="1" applyFont="1" applyFill="1" applyBorder="1" applyAlignment="1">
      <alignment horizontal="right" vertical="center"/>
    </xf>
    <xf numFmtId="165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5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5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5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5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5" fontId="35" fillId="21" borderId="10" xfId="28" applyNumberFormat="1" applyFont="1" applyFill="1" applyBorder="1" applyAlignment="1">
      <alignment horizontal="right" vertical="center"/>
    </xf>
    <xf numFmtId="165" fontId="35" fillId="21" borderId="10" xfId="0" applyNumberFormat="1" applyFont="1" applyFill="1" applyBorder="1" applyAlignment="1">
      <alignment horizontal="right" vertical="center"/>
    </xf>
    <xf numFmtId="4" fontId="34" fillId="22" borderId="12" xfId="0" applyNumberFormat="1" applyFont="1" applyFill="1" applyBorder="1" applyAlignment="1">
      <alignment horizontal="right" vertical="center"/>
    </xf>
    <xf numFmtId="165" fontId="35" fillId="22" borderId="10" xfId="0" applyNumberFormat="1" applyFont="1" applyFill="1" applyBorder="1" applyAlignment="1">
      <alignment horizontal="right" vertical="center"/>
    </xf>
    <xf numFmtId="4" fontId="35" fillId="22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2" borderId="10" xfId="44" applyFont="1" applyFill="1" applyBorder="1" applyAlignment="1">
      <alignment horizontal="left" vertical="top" wrapText="1"/>
    </xf>
    <xf numFmtId="4" fontId="32" fillId="22" borderId="10" xfId="0" applyNumberFormat="1" applyFont="1" applyFill="1" applyBorder="1" applyAlignment="1">
      <alignment horizontal="right" vertical="center"/>
    </xf>
    <xf numFmtId="165" fontId="32" fillId="22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5" fontId="33" fillId="22" borderId="10" xfId="0" applyNumberFormat="1" applyFont="1" applyFill="1" applyBorder="1" applyAlignment="1">
      <alignment horizontal="right" vertical="center"/>
    </xf>
    <xf numFmtId="4" fontId="35" fillId="22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2" borderId="10" xfId="0" applyNumberFormat="1" applyFont="1" applyFill="1" applyBorder="1" applyAlignment="1">
      <alignment horizontal="right" vertical="center" wrapText="1"/>
    </xf>
    <xf numFmtId="165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5" fontId="35" fillId="0" borderId="10" xfId="28" applyNumberFormat="1" applyFont="1" applyFill="1" applyBorder="1" applyAlignment="1">
      <alignment horizontal="right" vertical="center"/>
    </xf>
    <xf numFmtId="165" fontId="35" fillId="0" borderId="10" xfId="0" applyNumberFormat="1" applyFont="1" applyFill="1" applyBorder="1" applyAlignment="1">
      <alignment horizontal="right" vertical="center"/>
    </xf>
    <xf numFmtId="4" fontId="33" fillId="21" borderId="10" xfId="0" applyNumberFormat="1" applyFont="1" applyFill="1" applyBorder="1" applyAlignment="1">
      <alignment horizontal="right" vertical="center"/>
    </xf>
    <xf numFmtId="165" fontId="33" fillId="21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2" borderId="10" xfId="0" applyNumberFormat="1" applyFont="1" applyFill="1" applyBorder="1" applyAlignment="1">
      <alignment vertical="center"/>
    </xf>
    <xf numFmtId="4" fontId="32" fillId="22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6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10" fillId="22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2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1" borderId="10" xfId="0" applyFont="1" applyFill="1" applyBorder="1" applyAlignment="1">
      <alignment horizontal="left" vertical="center" wrapText="1" indent="3"/>
    </xf>
    <xf numFmtId="0" fontId="7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3" fillId="22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2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4" fontId="32" fillId="2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7" fillId="0" borderId="10" xfId="45" applyFont="1" applyBorder="1" applyAlignment="1">
      <alignment horizontal="left" vertical="center" wrapText="1" inden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/>
    </xf>
    <xf numFmtId="166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3 4" xfId="32" xr:uid="{00000000-0005-0000-0000-00001F000000}"/>
    <cellStyle name="Dziesiętny 4" xfId="33" xr:uid="{00000000-0005-0000-0000-000020000000}"/>
    <cellStyle name="Dziesiętny 5" xfId="34" xr:uid="{00000000-0005-0000-0000-000021000000}"/>
    <cellStyle name="Explanatory Text" xfId="35" xr:uid="{00000000-0005-0000-0000-000022000000}"/>
    <cellStyle name="Good" xfId="36" xr:uid="{00000000-0005-0000-0000-000023000000}"/>
    <cellStyle name="Heading 1" xfId="37" xr:uid="{00000000-0005-0000-0000-000024000000}"/>
    <cellStyle name="Heading 2" xfId="38" xr:uid="{00000000-0005-0000-0000-000025000000}"/>
    <cellStyle name="Heading 3" xfId="39" xr:uid="{00000000-0005-0000-0000-000026000000}"/>
    <cellStyle name="Heading 4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rmalny" xfId="0" builtinId="0"/>
    <cellStyle name="Normalny 2" xfId="44" xr:uid="{00000000-0005-0000-0000-00002C000000}"/>
    <cellStyle name="Normalny 2 2" xfId="45" xr:uid="{00000000-0005-0000-0000-00002D000000}"/>
    <cellStyle name="Note" xfId="46" xr:uid="{00000000-0005-0000-0000-00002E000000}"/>
    <cellStyle name="Output" xfId="47" xr:uid="{00000000-0005-0000-0000-00002F000000}"/>
    <cellStyle name="Title" xfId="48" xr:uid="{00000000-0005-0000-0000-000030000000}"/>
    <cellStyle name="Total" xfId="49" xr:uid="{00000000-0005-0000-0000-000031000000}"/>
    <cellStyle name="Warning Text" xfId="50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6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",$D$103," ",$C$104," rok     ",$C$106,"")</f>
        <v xml:space="preserve">Informacja z wykonania budżetów powiatów za III Kwartały 2023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60" t="s">
        <v>0</v>
      </c>
      <c r="C2" s="14" t="s">
        <v>26</v>
      </c>
      <c r="D2" s="14" t="s">
        <v>27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6" t="s">
        <v>2</v>
      </c>
      <c r="K2" s="14" t="s">
        <v>18</v>
      </c>
      <c r="L2" s="14" t="s">
        <v>3</v>
      </c>
    </row>
    <row r="3" spans="2:13" x14ac:dyDescent="0.2">
      <c r="B3" s="160"/>
      <c r="C3" s="151" t="s">
        <v>59</v>
      </c>
      <c r="D3" s="152"/>
      <c r="E3" s="154" t="s">
        <v>85</v>
      </c>
      <c r="F3" s="155"/>
      <c r="G3" s="155"/>
      <c r="H3" s="155"/>
      <c r="I3" s="156"/>
      <c r="J3" s="151" t="s">
        <v>4</v>
      </c>
      <c r="K3" s="153"/>
      <c r="L3" s="152"/>
    </row>
    <row r="4" spans="2:13" ht="9" customHeight="1" x14ac:dyDescent="0.2">
      <c r="B4" s="16">
        <v>1</v>
      </c>
      <c r="C4" s="18">
        <v>2</v>
      </c>
      <c r="D4" s="18">
        <v>3</v>
      </c>
      <c r="E4" s="157"/>
      <c r="F4" s="158"/>
      <c r="G4" s="158"/>
      <c r="H4" s="158"/>
      <c r="I4" s="159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45474688840.08</f>
        <v>45474688840.080002</v>
      </c>
      <c r="D5" s="54">
        <f>32275892557.15</f>
        <v>32275892557.150002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 s="55">
        <f t="shared" ref="J5:J39" si="0">IF($D$5=0,"",100*$D5/$D$5)</f>
        <v>100</v>
      </c>
      <c r="K5" s="55">
        <f t="shared" ref="K5:K42" si="1">IF(C5=0,"",100*D5/C5)</f>
        <v>70.975510510152219</v>
      </c>
      <c r="L5" s="55"/>
    </row>
    <row r="6" spans="2:13" ht="26.85" customHeight="1" x14ac:dyDescent="0.2">
      <c r="B6" s="107" t="s">
        <v>41</v>
      </c>
      <c r="C6" s="30">
        <f>C5-C11-C35</f>
        <v>14578355085.110004</v>
      </c>
      <c r="D6" s="30">
        <f>D5-D11-D35</f>
        <v>10198622122.450003</v>
      </c>
      <c r="E6" s="97" t="s">
        <v>85</v>
      </c>
      <c r="F6" s="97" t="s">
        <v>85</v>
      </c>
      <c r="G6" s="97" t="s">
        <v>85</v>
      </c>
      <c r="H6" s="97" t="s">
        <v>85</v>
      </c>
      <c r="I6" s="97" t="s">
        <v>85</v>
      </c>
      <c r="J6" s="31">
        <f t="shared" si="0"/>
        <v>31.598265189387384</v>
      </c>
      <c r="K6" s="31">
        <f t="shared" si="1"/>
        <v>69.957289851353949</v>
      </c>
      <c r="L6" s="31">
        <f>IF($D$6=0,"",100*$D6/$D$6)</f>
        <v>100</v>
      </c>
    </row>
    <row r="7" spans="2:13" ht="22.5" outlineLevel="1" x14ac:dyDescent="0.2">
      <c r="B7" s="109" t="s">
        <v>19</v>
      </c>
      <c r="C7" s="32">
        <f>5785133093</f>
        <v>5785133093</v>
      </c>
      <c r="D7" s="32">
        <f>4335340725</f>
        <v>4335340725</v>
      </c>
      <c r="E7" s="97" t="s">
        <v>85</v>
      </c>
      <c r="F7" s="97" t="s">
        <v>85</v>
      </c>
      <c r="G7" s="97" t="s">
        <v>85</v>
      </c>
      <c r="H7" s="97" t="s">
        <v>85</v>
      </c>
      <c r="I7" s="97" t="s">
        <v>85</v>
      </c>
      <c r="J7" s="33">
        <f t="shared" si="0"/>
        <v>13.432132720492659</v>
      </c>
      <c r="K7" s="33">
        <f t="shared" si="1"/>
        <v>74.939342886436862</v>
      </c>
      <c r="L7" s="33">
        <f>IF($D$6=0,"",100*$D7/$D$6)</f>
        <v>42.509082824597549</v>
      </c>
    </row>
    <row r="8" spans="2:13" ht="22.5" outlineLevel="1" x14ac:dyDescent="0.2">
      <c r="B8" s="109" t="s">
        <v>25</v>
      </c>
      <c r="C8" s="32">
        <f>474339515</f>
        <v>474339515</v>
      </c>
      <c r="D8" s="32">
        <f>356348637</f>
        <v>356348637</v>
      </c>
      <c r="E8" s="97" t="s">
        <v>85</v>
      </c>
      <c r="F8" s="97" t="s">
        <v>85</v>
      </c>
      <c r="G8" s="97" t="s">
        <v>85</v>
      </c>
      <c r="H8" s="97" t="s">
        <v>85</v>
      </c>
      <c r="I8" s="97" t="s">
        <v>85</v>
      </c>
      <c r="J8" s="33">
        <f t="shared" si="0"/>
        <v>1.1040705888118312</v>
      </c>
      <c r="K8" s="33">
        <f t="shared" si="1"/>
        <v>75.125226916842465</v>
      </c>
      <c r="L8" s="33">
        <f>IF($D$6=0,"",100*$D8/$D$6)</f>
        <v>3.4940860904688056</v>
      </c>
    </row>
    <row r="9" spans="2:13" ht="12.95" customHeight="1" outlineLevel="1" x14ac:dyDescent="0.2">
      <c r="B9" s="109" t="s">
        <v>20</v>
      </c>
      <c r="C9" s="32">
        <f>503755687.49</f>
        <v>503755687.49000001</v>
      </c>
      <c r="D9" s="56">
        <f>248924771.49</f>
        <v>248924771.49000001</v>
      </c>
      <c r="E9" s="97" t="s">
        <v>85</v>
      </c>
      <c r="F9" s="97" t="s">
        <v>85</v>
      </c>
      <c r="G9" s="97" t="s">
        <v>85</v>
      </c>
      <c r="H9" s="97" t="s">
        <v>85</v>
      </c>
      <c r="I9" s="97" t="s">
        <v>85</v>
      </c>
      <c r="J9" s="33">
        <f t="shared" si="0"/>
        <v>0.77124055066559671</v>
      </c>
      <c r="K9" s="33">
        <f t="shared" si="1"/>
        <v>49.413788801132171</v>
      </c>
      <c r="L9" s="33">
        <f>IF($D$6=0,"",100*$D9/$D$6)</f>
        <v>2.4407686499340668</v>
      </c>
    </row>
    <row r="10" spans="2:13" ht="12.95" customHeight="1" outlineLevel="1" x14ac:dyDescent="0.2">
      <c r="B10" s="109" t="s">
        <v>21</v>
      </c>
      <c r="C10" s="32">
        <f>C6-C8-C7-C9</f>
        <v>7815126789.6200047</v>
      </c>
      <c r="D10" s="32">
        <f>D6-D8-D7-D9</f>
        <v>5258007988.9600029</v>
      </c>
      <c r="E10" s="97" t="s">
        <v>85</v>
      </c>
      <c r="F10" s="97" t="s">
        <v>85</v>
      </c>
      <c r="G10" s="97" t="s">
        <v>85</v>
      </c>
      <c r="H10" s="97" t="s">
        <v>85</v>
      </c>
      <c r="I10" s="97" t="s">
        <v>85</v>
      </c>
      <c r="J10" s="33">
        <f t="shared" si="0"/>
        <v>16.290821329417298</v>
      </c>
      <c r="K10" s="33">
        <f t="shared" si="1"/>
        <v>67.279880806843096</v>
      </c>
      <c r="L10" s="33">
        <f>IF($D$6=0,"",100*$D10/$D$6)</f>
        <v>51.556062434999582</v>
      </c>
    </row>
    <row r="11" spans="2:13" ht="26.85" customHeight="1" x14ac:dyDescent="0.2">
      <c r="B11" s="108" t="s">
        <v>91</v>
      </c>
      <c r="C11" s="54">
        <f>C12+C31+C33</f>
        <v>13224993963.35</v>
      </c>
      <c r="D11" s="54">
        <f>D12+D31+D33</f>
        <v>7495849135.1400003</v>
      </c>
      <c r="E11" s="97" t="s">
        <v>85</v>
      </c>
      <c r="F11" s="97" t="s">
        <v>85</v>
      </c>
      <c r="G11" s="97" t="s">
        <v>85</v>
      </c>
      <c r="H11" s="97" t="s">
        <v>85</v>
      </c>
      <c r="I11" s="97" t="s">
        <v>85</v>
      </c>
      <c r="J11" s="55">
        <f t="shared" si="0"/>
        <v>23.224296963646516</v>
      </c>
      <c r="K11" s="55">
        <f t="shared" si="1"/>
        <v>56.679414417223974</v>
      </c>
      <c r="L11" s="57"/>
    </row>
    <row r="12" spans="2:13" ht="26.85" customHeight="1" outlineLevel="1" x14ac:dyDescent="0.2">
      <c r="B12" s="110" t="s">
        <v>42</v>
      </c>
      <c r="C12" s="54">
        <f>C13+C15+C17+C19+C21+C23+C25+C27+C29</f>
        <v>11898803216.529999</v>
      </c>
      <c r="D12" s="54">
        <f>D13+D15+D17+D19+D21+D23+D25+D27+D29</f>
        <v>6769917146.2600002</v>
      </c>
      <c r="E12" s="97" t="s">
        <v>85</v>
      </c>
      <c r="F12" s="97" t="s">
        <v>85</v>
      </c>
      <c r="G12" s="97" t="s">
        <v>85</v>
      </c>
      <c r="H12" s="97" t="s">
        <v>85</v>
      </c>
      <c r="I12" s="97" t="s">
        <v>85</v>
      </c>
      <c r="J12" s="55">
        <f t="shared" si="0"/>
        <v>20.975150832072888</v>
      </c>
      <c r="K12" s="55">
        <f t="shared" si="1"/>
        <v>56.895782063654337</v>
      </c>
      <c r="L12" s="36"/>
    </row>
    <row r="13" spans="2:13" ht="22.5" outlineLevel="1" x14ac:dyDescent="0.2">
      <c r="B13" s="111" t="s">
        <v>9</v>
      </c>
      <c r="C13" s="32">
        <f>3201544841.42</f>
        <v>3201544841.4200001</v>
      </c>
      <c r="D13" s="32">
        <f>2564073877.8</f>
        <v>2564073877.8000002</v>
      </c>
      <c r="E13" s="97" t="s">
        <v>85</v>
      </c>
      <c r="F13" s="97" t="s">
        <v>85</v>
      </c>
      <c r="G13" s="97" t="s">
        <v>85</v>
      </c>
      <c r="H13" s="97" t="s">
        <v>85</v>
      </c>
      <c r="I13" s="97" t="s">
        <v>85</v>
      </c>
      <c r="J13" s="33">
        <f t="shared" si="0"/>
        <v>7.9442384846828569</v>
      </c>
      <c r="K13" s="33">
        <f t="shared" si="1"/>
        <v>80.088644851300643</v>
      </c>
      <c r="L13" s="36"/>
    </row>
    <row r="14" spans="2:13" ht="12.95" customHeight="1" outlineLevel="1" x14ac:dyDescent="0.2">
      <c r="B14" s="114" t="s">
        <v>6</v>
      </c>
      <c r="C14" s="32">
        <f>125824691.56</f>
        <v>125824691.56</v>
      </c>
      <c r="D14" s="32">
        <f>53731341.05</f>
        <v>53731341.049999997</v>
      </c>
      <c r="E14" s="97" t="s">
        <v>85</v>
      </c>
      <c r="F14" s="97" t="s">
        <v>85</v>
      </c>
      <c r="G14" s="97" t="s">
        <v>85</v>
      </c>
      <c r="H14" s="97" t="s">
        <v>85</v>
      </c>
      <c r="I14" s="97" t="s">
        <v>85</v>
      </c>
      <c r="J14" s="33">
        <f t="shared" si="0"/>
        <v>0.1664751515542427</v>
      </c>
      <c r="K14" s="33">
        <f t="shared" si="1"/>
        <v>42.703336192465848</v>
      </c>
      <c r="L14" s="36"/>
    </row>
    <row r="15" spans="2:13" ht="12.95" customHeight="1" outlineLevel="1" x14ac:dyDescent="0.2">
      <c r="B15" s="111" t="s">
        <v>7</v>
      </c>
      <c r="C15" s="32">
        <f>1074758007.06</f>
        <v>1074758007.0599999</v>
      </c>
      <c r="D15" s="32">
        <f>640624912.33</f>
        <v>640624912.33000004</v>
      </c>
      <c r="E15" s="97" t="s">
        <v>85</v>
      </c>
      <c r="F15" s="97" t="s">
        <v>85</v>
      </c>
      <c r="G15" s="97" t="s">
        <v>85</v>
      </c>
      <c r="H15" s="97" t="s">
        <v>85</v>
      </c>
      <c r="I15" s="97" t="s">
        <v>85</v>
      </c>
      <c r="J15" s="33">
        <f t="shared" si="0"/>
        <v>1.9848402679977442</v>
      </c>
      <c r="K15" s="33">
        <f t="shared" si="1"/>
        <v>59.606433087428606</v>
      </c>
      <c r="L15" s="36"/>
    </row>
    <row r="16" spans="2:13" ht="12.95" customHeight="1" outlineLevel="1" x14ac:dyDescent="0.2">
      <c r="B16" s="114" t="s">
        <v>6</v>
      </c>
      <c r="C16" s="32">
        <f>209407390.51</f>
        <v>209407390.50999999</v>
      </c>
      <c r="D16" s="32">
        <f>49861307.55</f>
        <v>49861307.549999997</v>
      </c>
      <c r="E16" s="97" t="s">
        <v>85</v>
      </c>
      <c r="F16" s="97" t="s">
        <v>85</v>
      </c>
      <c r="G16" s="97" t="s">
        <v>85</v>
      </c>
      <c r="H16" s="97" t="s">
        <v>85</v>
      </c>
      <c r="I16" s="97" t="s">
        <v>85</v>
      </c>
      <c r="J16" s="33">
        <f t="shared" si="0"/>
        <v>0.15448467447247821</v>
      </c>
      <c r="K16" s="33">
        <f t="shared" si="1"/>
        <v>23.810672311309343</v>
      </c>
      <c r="L16" s="36"/>
    </row>
    <row r="17" spans="2:12" ht="33.75" outlineLevel="1" x14ac:dyDescent="0.2">
      <c r="B17" s="111" t="s">
        <v>10</v>
      </c>
      <c r="C17" s="32">
        <f>113516902.75</f>
        <v>113516902.75</v>
      </c>
      <c r="D17" s="32">
        <f>102967029.69</f>
        <v>102967029.69</v>
      </c>
      <c r="E17" s="97" t="s">
        <v>85</v>
      </c>
      <c r="F17" s="97" t="s">
        <v>85</v>
      </c>
      <c r="G17" s="97" t="s">
        <v>85</v>
      </c>
      <c r="H17" s="97" t="s">
        <v>85</v>
      </c>
      <c r="I17" s="97" t="s">
        <v>85</v>
      </c>
      <c r="J17" s="33">
        <f t="shared" si="0"/>
        <v>0.31902147867074232</v>
      </c>
      <c r="K17" s="33">
        <f t="shared" si="1"/>
        <v>90.706341695003658</v>
      </c>
      <c r="L17" s="36"/>
    </row>
    <row r="18" spans="2:12" ht="12.95" customHeight="1" outlineLevel="1" x14ac:dyDescent="0.2">
      <c r="B18" s="114" t="s">
        <v>6</v>
      </c>
      <c r="C18" s="32">
        <f>9801701.76</f>
        <v>9801701.7599999998</v>
      </c>
      <c r="D18" s="32">
        <f>6165827.76</f>
        <v>6165827.7599999998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  <c r="J18" s="33">
        <f t="shared" si="0"/>
        <v>1.910350813407358E-2</v>
      </c>
      <c r="K18" s="33">
        <f t="shared" si="1"/>
        <v>62.905686287683992</v>
      </c>
      <c r="L18" s="36"/>
    </row>
    <row r="19" spans="2:12" ht="25.5" customHeight="1" outlineLevel="1" x14ac:dyDescent="0.2">
      <c r="B19" s="111" t="s">
        <v>11</v>
      </c>
      <c r="C19" s="32">
        <f>472634381.48</f>
        <v>472634381.48000002</v>
      </c>
      <c r="D19" s="32">
        <f>300891403.65</f>
        <v>300891403.64999998</v>
      </c>
      <c r="E19" s="97" t="s">
        <v>85</v>
      </c>
      <c r="F19" s="97" t="s">
        <v>85</v>
      </c>
      <c r="G19" s="97" t="s">
        <v>85</v>
      </c>
      <c r="H19" s="97" t="s">
        <v>85</v>
      </c>
      <c r="I19" s="97" t="s">
        <v>85</v>
      </c>
      <c r="J19" s="33">
        <f t="shared" si="0"/>
        <v>0.93224812642197308</v>
      </c>
      <c r="K19" s="33">
        <f t="shared" si="1"/>
        <v>63.662614367535696</v>
      </c>
      <c r="L19" s="36"/>
    </row>
    <row r="20" spans="2:12" ht="12.95" customHeight="1" outlineLevel="1" x14ac:dyDescent="0.2">
      <c r="B20" s="114" t="s">
        <v>6</v>
      </c>
      <c r="C20" s="32">
        <f>87899905.44</f>
        <v>87899905.439999998</v>
      </c>
      <c r="D20" s="32">
        <f>29106754.2</f>
        <v>29106754.199999999</v>
      </c>
      <c r="E20" s="97" t="s">
        <v>85</v>
      </c>
      <c r="F20" s="97" t="s">
        <v>85</v>
      </c>
      <c r="G20" s="97" t="s">
        <v>85</v>
      </c>
      <c r="H20" s="97" t="s">
        <v>85</v>
      </c>
      <c r="I20" s="97" t="s">
        <v>85</v>
      </c>
      <c r="J20" s="33">
        <f t="shared" si="0"/>
        <v>9.0181097698418408E-2</v>
      </c>
      <c r="K20" s="33">
        <f t="shared" si="1"/>
        <v>33.113521629290162</v>
      </c>
      <c r="L20" s="36"/>
    </row>
    <row r="21" spans="2:12" ht="35.25" customHeight="1" outlineLevel="1" x14ac:dyDescent="0.2">
      <c r="B21" s="111" t="s">
        <v>60</v>
      </c>
      <c r="C21" s="32">
        <f>1099880714.93</f>
        <v>1099880714.9300001</v>
      </c>
      <c r="D21" s="32">
        <f>518741111.31</f>
        <v>518741111.31</v>
      </c>
      <c r="E21" s="97" t="s">
        <v>85</v>
      </c>
      <c r="F21" s="97" t="s">
        <v>85</v>
      </c>
      <c r="G21" s="97" t="s">
        <v>85</v>
      </c>
      <c r="H21" s="97" t="s">
        <v>85</v>
      </c>
      <c r="I21" s="97" t="s">
        <v>85</v>
      </c>
      <c r="J21" s="33">
        <f t="shared" si="0"/>
        <v>1.6072091899286129</v>
      </c>
      <c r="K21" s="33">
        <f t="shared" si="1"/>
        <v>47.163397291042997</v>
      </c>
      <c r="L21" s="36"/>
    </row>
    <row r="22" spans="2:12" ht="12.95" customHeight="1" outlineLevel="1" x14ac:dyDescent="0.2">
      <c r="B22" s="114" t="s">
        <v>6</v>
      </c>
      <c r="C22" s="32">
        <f>914956418.12</f>
        <v>914956418.12</v>
      </c>
      <c r="D22" s="32">
        <f>420445885.79</f>
        <v>420445885.79000002</v>
      </c>
      <c r="E22" s="97" t="s">
        <v>85</v>
      </c>
      <c r="F22" s="97" t="s">
        <v>85</v>
      </c>
      <c r="G22" s="97" t="s">
        <v>85</v>
      </c>
      <c r="H22" s="97" t="s">
        <v>85</v>
      </c>
      <c r="I22" s="97" t="s">
        <v>85</v>
      </c>
      <c r="J22" s="33">
        <f t="shared" si="0"/>
        <v>1.3026623045219539</v>
      </c>
      <c r="K22" s="33">
        <f t="shared" si="1"/>
        <v>45.952558773663569</v>
      </c>
      <c r="L22" s="36"/>
    </row>
    <row r="23" spans="2:12" ht="12.95" customHeight="1" outlineLevel="1" x14ac:dyDescent="0.2">
      <c r="B23" s="111" t="s">
        <v>8</v>
      </c>
      <c r="C23" s="32">
        <f>126548427.09</f>
        <v>126548427.09</v>
      </c>
      <c r="D23" s="32">
        <f>47809229.85</f>
        <v>47809229.850000001</v>
      </c>
      <c r="E23" s="97" t="s">
        <v>85</v>
      </c>
      <c r="F23" s="97" t="s">
        <v>85</v>
      </c>
      <c r="G23" s="97" t="s">
        <v>85</v>
      </c>
      <c r="H23" s="97" t="s">
        <v>85</v>
      </c>
      <c r="I23" s="97" t="s">
        <v>85</v>
      </c>
      <c r="J23" s="33">
        <f t="shared" si="0"/>
        <v>0.14812674743338411</v>
      </c>
      <c r="K23" s="33">
        <f t="shared" si="1"/>
        <v>37.779394773511129</v>
      </c>
      <c r="L23" s="36"/>
    </row>
    <row r="24" spans="2:12" ht="12.95" customHeight="1" outlineLevel="1" x14ac:dyDescent="0.2">
      <c r="B24" s="114" t="s">
        <v>6</v>
      </c>
      <c r="C24" s="32">
        <f>100694215.49</f>
        <v>100694215.48999999</v>
      </c>
      <c r="D24" s="32">
        <f>28915229.47</f>
        <v>28915229.469999999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33">
        <f t="shared" si="0"/>
        <v>8.958769898865114E-2</v>
      </c>
      <c r="K24" s="33">
        <f t="shared" si="1"/>
        <v>28.715879387204311</v>
      </c>
      <c r="L24" s="36"/>
    </row>
    <row r="25" spans="2:12" ht="67.5" outlineLevel="1" x14ac:dyDescent="0.2">
      <c r="B25" s="111" t="s">
        <v>76</v>
      </c>
      <c r="C25" s="32">
        <f>8555629.24</f>
        <v>8555629.2400000002</v>
      </c>
      <c r="D25" s="32">
        <f>777541.68</f>
        <v>777541.68</v>
      </c>
      <c r="E25" s="97" t="s">
        <v>85</v>
      </c>
      <c r="F25" s="97" t="s">
        <v>85</v>
      </c>
      <c r="G25" s="97" t="s">
        <v>85</v>
      </c>
      <c r="H25" s="97" t="s">
        <v>85</v>
      </c>
      <c r="I25" s="97" t="s">
        <v>85</v>
      </c>
      <c r="J25" s="33">
        <f t="shared" si="0"/>
        <v>2.4090478013062818E-3</v>
      </c>
      <c r="K25" s="33">
        <f t="shared" si="1"/>
        <v>9.0880712357750557</v>
      </c>
      <c r="L25" s="36"/>
    </row>
    <row r="26" spans="2:12" ht="12.95" customHeight="1" outlineLevel="1" x14ac:dyDescent="0.2">
      <c r="B26" s="114" t="s">
        <v>77</v>
      </c>
      <c r="C26" s="32">
        <f>7907987.56</f>
        <v>7907987.5599999996</v>
      </c>
      <c r="D26" s="32">
        <f>219900</f>
        <v>219900</v>
      </c>
      <c r="E26" s="97" t="s">
        <v>85</v>
      </c>
      <c r="F26" s="97" t="s">
        <v>85</v>
      </c>
      <c r="G26" s="97" t="s">
        <v>85</v>
      </c>
      <c r="H26" s="97" t="s">
        <v>85</v>
      </c>
      <c r="I26" s="97" t="s">
        <v>85</v>
      </c>
      <c r="J26" s="33">
        <f t="shared" si="0"/>
        <v>6.8131345898685635E-4</v>
      </c>
      <c r="K26" s="33">
        <f t="shared" si="1"/>
        <v>2.7807327506721573</v>
      </c>
      <c r="L26" s="36"/>
    </row>
    <row r="27" spans="2:12" ht="45" outlineLevel="1" x14ac:dyDescent="0.2">
      <c r="B27" s="112" t="s">
        <v>75</v>
      </c>
      <c r="C27" s="69">
        <f>5024315801.77</f>
        <v>5024315801.7700005</v>
      </c>
      <c r="D27" s="69">
        <f>1909016422.41</f>
        <v>1909016422.4100001</v>
      </c>
      <c r="E27" s="97" t="s">
        <v>85</v>
      </c>
      <c r="F27" s="97" t="s">
        <v>85</v>
      </c>
      <c r="G27" s="97" t="s">
        <v>85</v>
      </c>
      <c r="H27" s="97" t="s">
        <v>85</v>
      </c>
      <c r="I27" s="97" t="s">
        <v>85</v>
      </c>
      <c r="J27" s="70">
        <f t="shared" si="0"/>
        <v>5.914682046452346</v>
      </c>
      <c r="K27" s="70">
        <f t="shared" si="1"/>
        <v>37.995549995831844</v>
      </c>
      <c r="L27" s="36"/>
    </row>
    <row r="28" spans="2:12" ht="12.95" customHeight="1" outlineLevel="1" x14ac:dyDescent="0.2">
      <c r="B28" s="114" t="s">
        <v>6</v>
      </c>
      <c r="C28" s="32">
        <f>5003223523.92</f>
        <v>5003223523.9200001</v>
      </c>
      <c r="D28" s="32">
        <f>1904008374.86</f>
        <v>1904008374.8599999</v>
      </c>
      <c r="E28" s="97" t="s">
        <v>85</v>
      </c>
      <c r="F28" s="97" t="s">
        <v>85</v>
      </c>
      <c r="G28" s="97" t="s">
        <v>85</v>
      </c>
      <c r="H28" s="97" t="s">
        <v>85</v>
      </c>
      <c r="I28" s="97" t="s">
        <v>85</v>
      </c>
      <c r="J28" s="33">
        <f t="shared" si="0"/>
        <v>5.8991656744693479</v>
      </c>
      <c r="K28" s="33">
        <f t="shared" si="1"/>
        <v>38.055632848644329</v>
      </c>
      <c r="L28" s="36"/>
    </row>
    <row r="29" spans="2:12" ht="22.5" outlineLevel="1" x14ac:dyDescent="0.2">
      <c r="B29" s="112" t="s">
        <v>94</v>
      </c>
      <c r="C29" s="32">
        <f>777048510.79</f>
        <v>777048510.78999996</v>
      </c>
      <c r="D29" s="32">
        <f>685015617.54</f>
        <v>685015617.53999996</v>
      </c>
      <c r="E29" s="97" t="s">
        <v>85</v>
      </c>
      <c r="F29" s="97" t="s">
        <v>85</v>
      </c>
      <c r="G29" s="97" t="s">
        <v>85</v>
      </c>
      <c r="H29" s="97" t="s">
        <v>85</v>
      </c>
      <c r="I29" s="97" t="s">
        <v>85</v>
      </c>
      <c r="J29" s="33">
        <f t="shared" si="0"/>
        <v>2.1223754426839241</v>
      </c>
      <c r="K29" s="33">
        <f t="shared" si="1"/>
        <v>88.156094249967339</v>
      </c>
      <c r="L29" s="36"/>
    </row>
    <row r="30" spans="2:12" ht="12.95" customHeight="1" outlineLevel="1" x14ac:dyDescent="0.2">
      <c r="B30" s="114" t="s">
        <v>6</v>
      </c>
      <c r="C30" s="32">
        <f>0</f>
        <v>0</v>
      </c>
      <c r="D30" s="32">
        <f>0</f>
        <v>0</v>
      </c>
      <c r="E30" s="97" t="s">
        <v>85</v>
      </c>
      <c r="F30" s="97" t="s">
        <v>85</v>
      </c>
      <c r="G30" s="97" t="s">
        <v>85</v>
      </c>
      <c r="H30" s="97" t="s">
        <v>85</v>
      </c>
      <c r="I30" s="97" t="s">
        <v>85</v>
      </c>
      <c r="J30" s="33">
        <f t="shared" si="0"/>
        <v>0</v>
      </c>
      <c r="K30" s="33" t="str">
        <f t="shared" si="1"/>
        <v/>
      </c>
      <c r="L30" s="36"/>
    </row>
    <row r="31" spans="2:12" ht="12.95" customHeight="1" outlineLevel="1" x14ac:dyDescent="0.2">
      <c r="B31" s="113" t="s">
        <v>67</v>
      </c>
      <c r="C31" s="30">
        <f>110280791.04</f>
        <v>110280791.04000001</v>
      </c>
      <c r="D31" s="30">
        <f>68937607.66</f>
        <v>68937607.659999996</v>
      </c>
      <c r="E31" s="97" t="s">
        <v>85</v>
      </c>
      <c r="F31" s="97" t="s">
        <v>85</v>
      </c>
      <c r="G31" s="97" t="s">
        <v>85</v>
      </c>
      <c r="H31" s="97" t="s">
        <v>85</v>
      </c>
      <c r="I31" s="97" t="s">
        <v>85</v>
      </c>
      <c r="J31" s="34">
        <f t="shared" si="0"/>
        <v>0.21358853992320784</v>
      </c>
      <c r="K31" s="34">
        <f t="shared" si="1"/>
        <v>62.510984016242325</v>
      </c>
      <c r="L31" s="21"/>
    </row>
    <row r="32" spans="2:12" ht="12.95" customHeight="1" outlineLevel="1" x14ac:dyDescent="0.2">
      <c r="B32" s="115" t="s">
        <v>53</v>
      </c>
      <c r="C32" s="35">
        <f>55645834.17</f>
        <v>55645834.170000002</v>
      </c>
      <c r="D32" s="35">
        <f>25105609.47</f>
        <v>25105609.469999999</v>
      </c>
      <c r="E32" s="97" t="s">
        <v>85</v>
      </c>
      <c r="F32" s="97" t="s">
        <v>85</v>
      </c>
      <c r="G32" s="97" t="s">
        <v>85</v>
      </c>
      <c r="H32" s="97" t="s">
        <v>85</v>
      </c>
      <c r="I32" s="97" t="s">
        <v>85</v>
      </c>
      <c r="J32" s="33">
        <f t="shared" si="0"/>
        <v>7.7784400309135415E-2</v>
      </c>
      <c r="K32" s="33">
        <f t="shared" si="1"/>
        <v>45.116781596447041</v>
      </c>
      <c r="L32" s="21"/>
    </row>
    <row r="33" spans="1:26" ht="12.95" customHeight="1" outlineLevel="1" x14ac:dyDescent="0.2">
      <c r="B33" s="113" t="s">
        <v>68</v>
      </c>
      <c r="C33" s="58">
        <f>1215909955.78</f>
        <v>1215909955.78</v>
      </c>
      <c r="D33" s="58">
        <f>656994381.22</f>
        <v>656994381.22000003</v>
      </c>
      <c r="E33" s="97" t="s">
        <v>85</v>
      </c>
      <c r="F33" s="97" t="s">
        <v>85</v>
      </c>
      <c r="G33" s="97" t="s">
        <v>85</v>
      </c>
      <c r="H33" s="97" t="s">
        <v>85</v>
      </c>
      <c r="I33" s="97" t="s">
        <v>85</v>
      </c>
      <c r="J33" s="59">
        <f t="shared" si="0"/>
        <v>2.0355575916504209</v>
      </c>
      <c r="K33" s="59">
        <f t="shared" si="1"/>
        <v>54.033144320998794</v>
      </c>
      <c r="L33" s="21"/>
    </row>
    <row r="34" spans="1:26" ht="12.95" customHeight="1" outlineLevel="1" x14ac:dyDescent="0.2">
      <c r="B34" s="115" t="s">
        <v>65</v>
      </c>
      <c r="C34" s="35">
        <f>810954618.66</f>
        <v>810954618.65999997</v>
      </c>
      <c r="D34" s="35">
        <f>367620515.03</f>
        <v>367620515.02999997</v>
      </c>
      <c r="E34" s="97" t="s">
        <v>85</v>
      </c>
      <c r="F34" s="97" t="s">
        <v>85</v>
      </c>
      <c r="G34" s="97" t="s">
        <v>85</v>
      </c>
      <c r="H34" s="97" t="s">
        <v>85</v>
      </c>
      <c r="I34" s="97" t="s">
        <v>85</v>
      </c>
      <c r="J34" s="33">
        <f t="shared" si="0"/>
        <v>1.1389941095480625</v>
      </c>
      <c r="K34" s="33">
        <f t="shared" si="1"/>
        <v>45.331823331550467</v>
      </c>
      <c r="L34" s="21"/>
    </row>
    <row r="35" spans="1:26" s="5" customFormat="1" ht="26.85" customHeight="1" x14ac:dyDescent="0.2">
      <c r="B35" s="107" t="s">
        <v>43</v>
      </c>
      <c r="C35" s="30">
        <f>C36+C37+C38+C39</f>
        <v>17671339791.619999</v>
      </c>
      <c r="D35" s="30">
        <f>D36+D37+D38+D39</f>
        <v>14581421299.559999</v>
      </c>
      <c r="E35" s="97" t="s">
        <v>85</v>
      </c>
      <c r="F35" s="97" t="s">
        <v>85</v>
      </c>
      <c r="G35" s="97" t="s">
        <v>85</v>
      </c>
      <c r="H35" s="97" t="s">
        <v>85</v>
      </c>
      <c r="I35" s="97" t="s">
        <v>85</v>
      </c>
      <c r="J35" s="31">
        <f t="shared" si="0"/>
        <v>45.1774378469661</v>
      </c>
      <c r="K35" s="31">
        <f t="shared" si="1"/>
        <v>82.514520525912346</v>
      </c>
      <c r="L35" s="22"/>
    </row>
    <row r="36" spans="1:26" ht="12.95" customHeight="1" outlineLevel="1" x14ac:dyDescent="0.2">
      <c r="B36" s="109" t="s">
        <v>30</v>
      </c>
      <c r="C36" s="32">
        <f>12627806961.8</f>
        <v>12627806961.799999</v>
      </c>
      <c r="D36" s="32">
        <f>10685864255</f>
        <v>10685864255</v>
      </c>
      <c r="E36" s="97" t="s">
        <v>85</v>
      </c>
      <c r="F36" s="97" t="s">
        <v>85</v>
      </c>
      <c r="G36" s="97" t="s">
        <v>85</v>
      </c>
      <c r="H36" s="97" t="s">
        <v>85</v>
      </c>
      <c r="I36" s="97" t="s">
        <v>85</v>
      </c>
      <c r="J36" s="33">
        <f t="shared" si="0"/>
        <v>33.107881481755605</v>
      </c>
      <c r="K36" s="33">
        <f t="shared" si="1"/>
        <v>84.621694703803186</v>
      </c>
      <c r="L36" s="21"/>
    </row>
    <row r="37" spans="1:26" ht="12.95" customHeight="1" outlineLevel="1" x14ac:dyDescent="0.2">
      <c r="B37" s="109" t="s">
        <v>29</v>
      </c>
      <c r="C37" s="32">
        <f>806063851</f>
        <v>806063851</v>
      </c>
      <c r="D37" s="32">
        <f>603920728</f>
        <v>603920728</v>
      </c>
      <c r="E37" s="97" t="s">
        <v>85</v>
      </c>
      <c r="F37" s="97" t="s">
        <v>85</v>
      </c>
      <c r="G37" s="97" t="s">
        <v>85</v>
      </c>
      <c r="H37" s="97" t="s">
        <v>85</v>
      </c>
      <c r="I37" s="97" t="s">
        <v>85</v>
      </c>
      <c r="J37" s="33">
        <f t="shared" si="0"/>
        <v>1.8711201461916345</v>
      </c>
      <c r="K37" s="33">
        <f t="shared" si="1"/>
        <v>74.922194718294094</v>
      </c>
      <c r="L37" s="21"/>
    </row>
    <row r="38" spans="1:26" ht="12.95" customHeight="1" outlineLevel="1" x14ac:dyDescent="0.2">
      <c r="B38" s="109" t="s">
        <v>31</v>
      </c>
      <c r="C38" s="32">
        <f>2729477171</f>
        <v>2729477171</v>
      </c>
      <c r="D38" s="32">
        <f>2047107933</f>
        <v>2047107933</v>
      </c>
      <c r="E38" s="97" t="s">
        <v>85</v>
      </c>
      <c r="F38" s="97" t="s">
        <v>85</v>
      </c>
      <c r="G38" s="97" t="s">
        <v>85</v>
      </c>
      <c r="H38" s="97" t="s">
        <v>85</v>
      </c>
      <c r="I38" s="97" t="s">
        <v>85</v>
      </c>
      <c r="J38" s="33">
        <f t="shared" si="0"/>
        <v>6.3425292712672299</v>
      </c>
      <c r="K38" s="33">
        <f t="shared" si="1"/>
        <v>75.000002005878656</v>
      </c>
      <c r="L38" s="21"/>
    </row>
    <row r="39" spans="1:26" s="5" customFormat="1" ht="12.95" customHeight="1" outlineLevel="1" x14ac:dyDescent="0.2">
      <c r="B39" s="109" t="s">
        <v>28</v>
      </c>
      <c r="C39" s="32">
        <f>1507991807.82</f>
        <v>1507991807.8199999</v>
      </c>
      <c r="D39" s="32">
        <f>1244528383.56</f>
        <v>1244528383.5599999</v>
      </c>
      <c r="E39" s="97" t="s">
        <v>85</v>
      </c>
      <c r="F39" s="97" t="s">
        <v>85</v>
      </c>
      <c r="G39" s="97" t="s">
        <v>85</v>
      </c>
      <c r="H39" s="97" t="s">
        <v>85</v>
      </c>
      <c r="I39" s="97" t="s">
        <v>85</v>
      </c>
      <c r="J39" s="33">
        <f t="shared" si="0"/>
        <v>3.8559069477516359</v>
      </c>
      <c r="K39" s="33">
        <f t="shared" si="1"/>
        <v>82.528855734244942</v>
      </c>
      <c r="L39" s="22"/>
    </row>
    <row r="40" spans="1:26" s="5" customFormat="1" ht="12.95" customHeight="1" x14ac:dyDescent="0.2">
      <c r="B40" s="106" t="s">
        <v>5</v>
      </c>
      <c r="C40" s="58">
        <f>+C5</f>
        <v>45474688840.080002</v>
      </c>
      <c r="D40" s="58">
        <f>+D5</f>
        <v>32275892557.150002</v>
      </c>
      <c r="E40" s="97" t="s">
        <v>85</v>
      </c>
      <c r="F40" s="97" t="s">
        <v>85</v>
      </c>
      <c r="G40" s="97" t="s">
        <v>85</v>
      </c>
      <c r="H40" s="97" t="s">
        <v>85</v>
      </c>
      <c r="I40" s="97" t="s">
        <v>85</v>
      </c>
      <c r="J40" s="59">
        <f>IF($D$5=0,"",100*$D40/$D$40)</f>
        <v>100</v>
      </c>
      <c r="K40" s="59">
        <f t="shared" si="1"/>
        <v>70.975510510152219</v>
      </c>
    </row>
    <row r="41" spans="1:26" s="5" customFormat="1" ht="12.95" customHeight="1" x14ac:dyDescent="0.2">
      <c r="B41" s="116" t="s">
        <v>55</v>
      </c>
      <c r="C41" s="32">
        <f>9477805800.51</f>
        <v>9477805800.5100002</v>
      </c>
      <c r="D41" s="32">
        <f>3885881416.23</f>
        <v>3885881416.23</v>
      </c>
      <c r="E41" s="97" t="s">
        <v>85</v>
      </c>
      <c r="F41" s="97" t="s">
        <v>85</v>
      </c>
      <c r="G41" s="97" t="s">
        <v>85</v>
      </c>
      <c r="H41" s="97" t="s">
        <v>85</v>
      </c>
      <c r="I41" s="97" t="s">
        <v>85</v>
      </c>
      <c r="J41" s="33">
        <f>IF($D$5=0,"",100*$D41/$D$40)</f>
        <v>12.039578485240588</v>
      </c>
      <c r="K41" s="33">
        <f t="shared" si="1"/>
        <v>40.999799932816735</v>
      </c>
    </row>
    <row r="42" spans="1:26" s="5" customFormat="1" ht="12.95" customHeight="1" x14ac:dyDescent="0.2">
      <c r="A42" s="2"/>
      <c r="B42" s="116" t="s">
        <v>56</v>
      </c>
      <c r="C42" s="32">
        <f>C40-C41</f>
        <v>35996883039.57</v>
      </c>
      <c r="D42" s="32">
        <f>D40-D41</f>
        <v>28390011140.920002</v>
      </c>
      <c r="E42" s="97" t="s">
        <v>85</v>
      </c>
      <c r="F42" s="97" t="s">
        <v>85</v>
      </c>
      <c r="G42" s="97" t="s">
        <v>85</v>
      </c>
      <c r="H42" s="97" t="s">
        <v>85</v>
      </c>
      <c r="I42" s="97" t="s">
        <v>85</v>
      </c>
      <c r="J42" s="33">
        <f>IF($D$5=0,"",100*$D42/$D$40)</f>
        <v>87.960421514759403</v>
      </c>
      <c r="K42" s="33">
        <f t="shared" si="1"/>
        <v>78.86797062321186</v>
      </c>
      <c r="M42" s="15"/>
      <c r="N42" s="15"/>
      <c r="O42" s="9"/>
      <c r="P42" s="9"/>
      <c r="Q42" s="3"/>
    </row>
    <row r="43" spans="1:26" s="5" customFormat="1" ht="12.95" customHeight="1" x14ac:dyDescent="0.2">
      <c r="A43" s="2"/>
      <c r="B43" s="128" t="s">
        <v>95</v>
      </c>
      <c r="C43" s="76"/>
      <c r="D43" s="76"/>
      <c r="E43" s="127"/>
      <c r="F43" s="127"/>
      <c r="G43" s="127"/>
      <c r="H43" s="127"/>
      <c r="I43" s="127"/>
      <c r="J43" s="57"/>
      <c r="K43" s="57"/>
      <c r="M43" s="15"/>
      <c r="N43" s="15"/>
      <c r="O43" s="9"/>
      <c r="P43" s="9"/>
      <c r="Q43" s="3"/>
    </row>
    <row r="44" spans="1:26" ht="20.100000000000001" customHeight="1" x14ac:dyDescent="0.2">
      <c r="B44" s="117" t="str">
        <f>CONCATENATE("Informacja z wykonania budżetów powiatów za ",$D$103," ",$C$104," rok     ",$C$106,"")</f>
        <v xml:space="preserve">Informacja z wykonania budżetów powiatów za III Kwartały 2023 rok     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1:26" s="5" customFormat="1" ht="9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60" t="s">
        <v>0</v>
      </c>
      <c r="C46" s="132" t="s">
        <v>37</v>
      </c>
      <c r="D46" s="132" t="s">
        <v>39</v>
      </c>
      <c r="E46" s="132" t="s">
        <v>38</v>
      </c>
      <c r="F46" s="132" t="s">
        <v>12</v>
      </c>
      <c r="G46" s="132"/>
      <c r="H46" s="132"/>
      <c r="I46" s="161" t="s">
        <v>66</v>
      </c>
      <c r="J46" s="132" t="s">
        <v>2</v>
      </c>
      <c r="K46" s="136" t="s">
        <v>18</v>
      </c>
      <c r="M46" s="10"/>
      <c r="N46" s="73"/>
      <c r="O46" s="7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60"/>
      <c r="C47" s="132"/>
      <c r="D47" s="132"/>
      <c r="E47" s="133"/>
      <c r="F47" s="134" t="s">
        <v>40</v>
      </c>
      <c r="G47" s="148" t="s">
        <v>24</v>
      </c>
      <c r="H47" s="133"/>
      <c r="I47" s="162"/>
      <c r="J47" s="132"/>
      <c r="K47" s="136"/>
      <c r="L47" s="11"/>
      <c r="M47" s="12"/>
      <c r="N47" s="74"/>
      <c r="O47" s="78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7" customHeight="1" x14ac:dyDescent="0.2">
      <c r="B48" s="160"/>
      <c r="C48" s="132"/>
      <c r="D48" s="132"/>
      <c r="E48" s="133"/>
      <c r="F48" s="133"/>
      <c r="G48" s="17" t="s">
        <v>35</v>
      </c>
      <c r="H48" s="17" t="s">
        <v>36</v>
      </c>
      <c r="I48" s="163"/>
      <c r="J48" s="132"/>
      <c r="K48" s="136"/>
      <c r="L48" s="11"/>
      <c r="M48" s="10"/>
      <c r="N48" s="74"/>
      <c r="O48" s="7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60"/>
      <c r="C49" s="151" t="s">
        <v>59</v>
      </c>
      <c r="D49" s="153"/>
      <c r="E49" s="153"/>
      <c r="F49" s="153"/>
      <c r="G49" s="153"/>
      <c r="H49" s="153"/>
      <c r="I49" s="152"/>
      <c r="J49" s="150" t="s">
        <v>4</v>
      </c>
      <c r="K49" s="150"/>
      <c r="N49" s="10"/>
      <c r="O49" s="78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6">
        <v>1</v>
      </c>
      <c r="C50" s="18">
        <v>2</v>
      </c>
      <c r="D50" s="18">
        <v>3</v>
      </c>
      <c r="E50" s="18">
        <v>4</v>
      </c>
      <c r="F50" s="16">
        <v>5</v>
      </c>
      <c r="G50" s="16">
        <v>6</v>
      </c>
      <c r="H50" s="18">
        <v>7</v>
      </c>
      <c r="I50" s="18">
        <v>8</v>
      </c>
      <c r="J50" s="16">
        <v>9</v>
      </c>
      <c r="K50" s="18">
        <v>10</v>
      </c>
      <c r="M50" s="10"/>
      <c r="N50" s="10"/>
      <c r="O50" s="7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6.85" customHeight="1" x14ac:dyDescent="0.2">
      <c r="B51" s="103" t="s">
        <v>44</v>
      </c>
      <c r="C51" s="60">
        <f>50661421327.95</f>
        <v>50661421327.949997</v>
      </c>
      <c r="D51" s="72">
        <f>30594858169.19</f>
        <v>30594858169.189999</v>
      </c>
      <c r="E51" s="72">
        <f>41826527787.05</f>
        <v>41826527787.050003</v>
      </c>
      <c r="F51" s="60">
        <f>1332116089.03</f>
        <v>1332116089.03</v>
      </c>
      <c r="G51" s="60">
        <f>7612420.91</f>
        <v>7612420.9100000001</v>
      </c>
      <c r="H51" s="60">
        <f>4523306.52</f>
        <v>4523306.5199999996</v>
      </c>
      <c r="I51" s="80">
        <f>0</f>
        <v>0</v>
      </c>
      <c r="J51" s="50">
        <f>IF($D$51=0,"",100*$D51/$D$51)</f>
        <v>100</v>
      </c>
      <c r="K51" s="50">
        <f>IF(C51=0,"",100*D51/C51)</f>
        <v>60.390840539467376</v>
      </c>
      <c r="O51" s="75"/>
    </row>
    <row r="52" spans="2:26" ht="12.95" customHeight="1" x14ac:dyDescent="0.2">
      <c r="B52" s="19" t="s">
        <v>14</v>
      </c>
      <c r="C52" s="38">
        <f>14076975965.54</f>
        <v>14076975965.540001</v>
      </c>
      <c r="D52" s="38">
        <f>5319523550.63</f>
        <v>5319523550.6300001</v>
      </c>
      <c r="E52" s="38">
        <f>10288894885.54</f>
        <v>10288894885.540001</v>
      </c>
      <c r="F52" s="38">
        <f>618918369.56</f>
        <v>618918369.55999994</v>
      </c>
      <c r="G52" s="38">
        <f>244.23</f>
        <v>244.23</v>
      </c>
      <c r="H52" s="38">
        <f>6896.02</f>
        <v>6896.02</v>
      </c>
      <c r="I52" s="81">
        <f>0</f>
        <v>0</v>
      </c>
      <c r="J52" s="50">
        <f t="shared" ref="J52:J60" si="2">IF($D$51=0,"",100*$D52/$D$51)</f>
        <v>17.386985490218517</v>
      </c>
      <c r="K52" s="50">
        <f t="shared" ref="K52:K60" si="3">IF(C52=0,"",100*D52/C52)</f>
        <v>37.78882313681595</v>
      </c>
      <c r="O52" s="76"/>
    </row>
    <row r="53" spans="2:26" ht="12.95" customHeight="1" outlineLevel="1" x14ac:dyDescent="0.2">
      <c r="B53" s="20" t="s">
        <v>13</v>
      </c>
      <c r="C53" s="35">
        <f>14009973761.52</f>
        <v>14009973761.52</v>
      </c>
      <c r="D53" s="35">
        <f>5273664774.81</f>
        <v>5273664774.8100004</v>
      </c>
      <c r="E53" s="35">
        <f>10240661109.72</f>
        <v>10240661109.719999</v>
      </c>
      <c r="F53" s="35">
        <f>618918369.56</f>
        <v>618918369.55999994</v>
      </c>
      <c r="G53" s="35">
        <f>244.23</f>
        <v>244.23</v>
      </c>
      <c r="H53" s="35">
        <f>6896.02</f>
        <v>6896.02</v>
      </c>
      <c r="I53" s="82">
        <f>0</f>
        <v>0</v>
      </c>
      <c r="J53" s="50">
        <f t="shared" si="2"/>
        <v>17.23709502311323</v>
      </c>
      <c r="K53" s="50">
        <f t="shared" si="3"/>
        <v>37.642217355857767</v>
      </c>
      <c r="O53" s="75"/>
    </row>
    <row r="54" spans="2:26" ht="26.85" customHeight="1" x14ac:dyDescent="0.2">
      <c r="B54" s="19" t="s">
        <v>45</v>
      </c>
      <c r="C54" s="38">
        <f t="shared" ref="C54:I54" si="4">C51-C52</f>
        <v>36584445362.409996</v>
      </c>
      <c r="D54" s="38">
        <f>D51-D52</f>
        <v>25275334618.559998</v>
      </c>
      <c r="E54" s="38">
        <f>E51-E52</f>
        <v>31537632901.510002</v>
      </c>
      <c r="F54" s="38">
        <f t="shared" si="4"/>
        <v>713197719.47000003</v>
      </c>
      <c r="G54" s="38">
        <f t="shared" si="4"/>
        <v>7612176.6799999997</v>
      </c>
      <c r="H54" s="38">
        <f t="shared" si="4"/>
        <v>4516410.5</v>
      </c>
      <c r="I54" s="81">
        <f t="shared" si="4"/>
        <v>0</v>
      </c>
      <c r="J54" s="50">
        <f t="shared" si="2"/>
        <v>82.613014509781493</v>
      </c>
      <c r="K54" s="50">
        <f t="shared" si="3"/>
        <v>69.087652875913349</v>
      </c>
      <c r="O54" s="75"/>
    </row>
    <row r="55" spans="2:26" ht="22.5" outlineLevel="1" x14ac:dyDescent="0.2">
      <c r="B55" s="20" t="s">
        <v>84</v>
      </c>
      <c r="C55" s="35">
        <f>22428090074.69</f>
        <v>22428090074.689999</v>
      </c>
      <c r="D55" s="35">
        <f>16492118211.63</f>
        <v>16492118211.629999</v>
      </c>
      <c r="E55" s="35">
        <f>20929740567.02</f>
        <v>20929740567.02</v>
      </c>
      <c r="F55" s="35">
        <f>453569687.89</f>
        <v>453569687.88999999</v>
      </c>
      <c r="G55" s="35">
        <f>1971.94</f>
        <v>1971.94</v>
      </c>
      <c r="H55" s="35">
        <f>286.96</f>
        <v>286.95999999999998</v>
      </c>
      <c r="I55" s="82">
        <f>0</f>
        <v>0</v>
      </c>
      <c r="J55" s="50">
        <f t="shared" si="2"/>
        <v>53.90486898297862</v>
      </c>
      <c r="K55" s="50">
        <f t="shared" si="3"/>
        <v>73.53331539470355</v>
      </c>
      <c r="O55" s="76"/>
    </row>
    <row r="56" spans="2:26" ht="12.95" customHeight="1" outlineLevel="1" x14ac:dyDescent="0.2">
      <c r="B56" s="23" t="s">
        <v>34</v>
      </c>
      <c r="C56" s="61">
        <f>2843902752</f>
        <v>2843902752</v>
      </c>
      <c r="D56" s="61">
        <f>2063878163.4</f>
        <v>2063878163.4000001</v>
      </c>
      <c r="E56" s="61">
        <f>2397030604.2</f>
        <v>2397030604.1999998</v>
      </c>
      <c r="F56" s="61">
        <f>1270836.21</f>
        <v>1270836.21</v>
      </c>
      <c r="G56" s="61">
        <f>0</f>
        <v>0</v>
      </c>
      <c r="H56" s="61">
        <f>0</f>
        <v>0</v>
      </c>
      <c r="I56" s="83">
        <f>0</f>
        <v>0</v>
      </c>
      <c r="J56" s="50">
        <f t="shared" si="2"/>
        <v>6.7458334076488429</v>
      </c>
      <c r="K56" s="50">
        <f t="shared" si="3"/>
        <v>72.572037210082485</v>
      </c>
    </row>
    <row r="57" spans="2:26" ht="12.95" customHeight="1" outlineLevel="1" x14ac:dyDescent="0.2">
      <c r="B57" s="23" t="s">
        <v>33</v>
      </c>
      <c r="C57" s="32">
        <f>488157635.31</f>
        <v>488157635.31</v>
      </c>
      <c r="D57" s="32">
        <f>302935957.34</f>
        <v>302935957.33999997</v>
      </c>
      <c r="E57" s="32">
        <f>358879323.73</f>
        <v>358879323.73000002</v>
      </c>
      <c r="F57" s="32">
        <f>18554650.89</f>
        <v>18554650.890000001</v>
      </c>
      <c r="G57" s="32">
        <f>0</f>
        <v>0</v>
      </c>
      <c r="H57" s="32">
        <f>0</f>
        <v>0</v>
      </c>
      <c r="I57" s="84">
        <f>0</f>
        <v>0</v>
      </c>
      <c r="J57" s="50">
        <f t="shared" si="2"/>
        <v>0.99015316777989237</v>
      </c>
      <c r="K57" s="50">
        <f t="shared" si="3"/>
        <v>62.056994591024534</v>
      </c>
    </row>
    <row r="58" spans="2:26" ht="22.5" customHeight="1" outlineLevel="1" x14ac:dyDescent="0.2">
      <c r="B58" s="23" t="s">
        <v>51</v>
      </c>
      <c r="C58" s="61">
        <f>31682543.47</f>
        <v>31682543.469999999</v>
      </c>
      <c r="D58" s="61">
        <f>629166.5</f>
        <v>629166.5</v>
      </c>
      <c r="E58" s="61">
        <f>1964608.26</f>
        <v>1964608.26</v>
      </c>
      <c r="F58" s="61">
        <f>0</f>
        <v>0</v>
      </c>
      <c r="G58" s="61">
        <f>0</f>
        <v>0</v>
      </c>
      <c r="H58" s="61">
        <f>0</f>
        <v>0</v>
      </c>
      <c r="I58" s="83">
        <f>0</f>
        <v>0</v>
      </c>
      <c r="J58" s="50">
        <f t="shared" si="2"/>
        <v>2.0564452252751111E-3</v>
      </c>
      <c r="K58" s="50">
        <f t="shared" si="3"/>
        <v>1.9858459299385285</v>
      </c>
    </row>
    <row r="59" spans="2:26" ht="12.95" customHeight="1" outlineLevel="1" x14ac:dyDescent="0.2">
      <c r="B59" s="23" t="s">
        <v>52</v>
      </c>
      <c r="C59" s="61">
        <f>1154440478.76</f>
        <v>1154440478.76</v>
      </c>
      <c r="D59" s="61">
        <f>795756912.620001</f>
        <v>795756912.62000096</v>
      </c>
      <c r="E59" s="61">
        <f>947962675.91</f>
        <v>947962675.90999997</v>
      </c>
      <c r="F59" s="61">
        <f>8253979.07</f>
        <v>8253979.0700000003</v>
      </c>
      <c r="G59" s="61">
        <f>0</f>
        <v>0</v>
      </c>
      <c r="H59" s="61">
        <f>64485.81</f>
        <v>64485.81</v>
      </c>
      <c r="I59" s="85">
        <f>0</f>
        <v>0</v>
      </c>
      <c r="J59" s="50">
        <f t="shared" si="2"/>
        <v>2.6009498335290653</v>
      </c>
      <c r="K59" s="50">
        <f t="shared" si="3"/>
        <v>68.930094470936609</v>
      </c>
    </row>
    <row r="60" spans="2:26" ht="12.95" customHeight="1" outlineLevel="1" x14ac:dyDescent="0.2">
      <c r="B60" s="20" t="s">
        <v>32</v>
      </c>
      <c r="C60" s="35">
        <f t="shared" ref="C60:I60" si="5">C54-C55-C56-C57-C58-C59</f>
        <v>9638171878.1799984</v>
      </c>
      <c r="D60" s="35">
        <f>D54-D55-D56-D57-D58-D59</f>
        <v>5620016207.0699978</v>
      </c>
      <c r="E60" s="86">
        <f>E54-E55-E56-E57-E58-E59</f>
        <v>6902055122.3900013</v>
      </c>
      <c r="F60" s="86">
        <f t="shared" si="5"/>
        <v>231548565.41000003</v>
      </c>
      <c r="G60" s="86">
        <f t="shared" si="5"/>
        <v>7610204.7399999993</v>
      </c>
      <c r="H60" s="86">
        <f t="shared" si="5"/>
        <v>4451637.7300000004</v>
      </c>
      <c r="I60" s="87">
        <f t="shared" si="5"/>
        <v>0</v>
      </c>
      <c r="J60" s="50">
        <f t="shared" si="2"/>
        <v>18.369152672619787</v>
      </c>
      <c r="K60" s="50">
        <f t="shared" si="3"/>
        <v>58.309981167624088</v>
      </c>
    </row>
    <row r="61" spans="2:26" ht="12.95" customHeight="1" x14ac:dyDescent="0.2">
      <c r="B61" s="103" t="s">
        <v>15</v>
      </c>
      <c r="C61" s="64">
        <f>C5-C51</f>
        <v>-5186732487.8699951</v>
      </c>
      <c r="D61" s="64">
        <f>D5-D51</f>
        <v>1681034387.9600029</v>
      </c>
      <c r="E61" s="92"/>
      <c r="F61" s="93"/>
      <c r="G61" s="93"/>
      <c r="H61" s="93"/>
      <c r="I61" s="135"/>
      <c r="J61" s="135"/>
      <c r="K61" s="94"/>
      <c r="L61" s="88"/>
      <c r="M61" s="13"/>
    </row>
    <row r="62" spans="2:26" ht="39" customHeight="1" x14ac:dyDescent="0.2">
      <c r="B62" s="104" t="s">
        <v>93</v>
      </c>
      <c r="C62" s="65">
        <f>C42-C54</f>
        <v>-587562322.83999634</v>
      </c>
      <c r="D62" s="65">
        <f>D42-D54</f>
        <v>3114676522.3600044</v>
      </c>
      <c r="E62" s="91"/>
      <c r="F62" s="89"/>
      <c r="G62" s="89"/>
      <c r="H62" s="89"/>
      <c r="I62" s="89"/>
      <c r="J62" s="89"/>
      <c r="K62" s="90"/>
      <c r="L62" s="90"/>
      <c r="M62" s="10"/>
    </row>
    <row r="63" spans="2:26" ht="12" customHeight="1" x14ac:dyDescent="0.2">
      <c r="B63" s="37"/>
      <c r="C63" s="42"/>
      <c r="D63" s="42"/>
      <c r="E63" s="42"/>
      <c r="F63" s="43"/>
      <c r="G63" s="43"/>
      <c r="H63" s="43"/>
      <c r="I63" s="43"/>
      <c r="J63" s="40"/>
      <c r="K63" s="40"/>
      <c r="L63" s="41"/>
      <c r="M63" s="10"/>
    </row>
    <row r="64" spans="2:26" ht="12" customHeight="1" x14ac:dyDescent="0.2">
      <c r="B64" s="126" t="s">
        <v>96</v>
      </c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26.85" customHeight="1" x14ac:dyDescent="0.2">
      <c r="B65" s="124" t="s">
        <v>92</v>
      </c>
      <c r="C65" s="122">
        <f>1816381684.56</f>
        <v>1816381684.5599999</v>
      </c>
      <c r="D65" s="62">
        <f>1004906823.75</f>
        <v>1004906823.75</v>
      </c>
      <c r="E65" s="62">
        <f>1348469063.4</f>
        <v>1348469063.4000001</v>
      </c>
      <c r="F65" s="62">
        <f>50514825.42</f>
        <v>50514825.420000002</v>
      </c>
      <c r="G65" s="62">
        <f>0</f>
        <v>0</v>
      </c>
      <c r="H65" s="62">
        <f>0</f>
        <v>0</v>
      </c>
      <c r="I65" s="62">
        <f>0</f>
        <v>0</v>
      </c>
      <c r="J65" s="50">
        <f>IF($D$65=0,"",100*$D65/$D$65)</f>
        <v>100</v>
      </c>
      <c r="K65" s="63">
        <f>IF(C65=0,"",100*D65/C65)</f>
        <v>55.324650776437913</v>
      </c>
      <c r="L65" s="10"/>
    </row>
    <row r="66" spans="2:13" ht="12.95" customHeight="1" x14ac:dyDescent="0.2">
      <c r="B66" s="125" t="s">
        <v>57</v>
      </c>
      <c r="C66" s="123">
        <f>1098091372.13</f>
        <v>1098091372.1300001</v>
      </c>
      <c r="D66" s="61">
        <f>517469147.73</f>
        <v>517469147.73000002</v>
      </c>
      <c r="E66" s="61">
        <f>787261663.99</f>
        <v>787261663.99000001</v>
      </c>
      <c r="F66" s="61">
        <f>40501739</f>
        <v>40501739</v>
      </c>
      <c r="G66" s="61">
        <f>0</f>
        <v>0</v>
      </c>
      <c r="H66" s="61">
        <f>0</f>
        <v>0</v>
      </c>
      <c r="I66" s="61">
        <f>0</f>
        <v>0</v>
      </c>
      <c r="J66" s="50">
        <f>IF($D$65=0,"",100*$D66/$D$65)</f>
        <v>51.494241605302861</v>
      </c>
      <c r="K66" s="63">
        <f>IF(C66=0,"",100*D66/C66)</f>
        <v>47.124416133627378</v>
      </c>
    </row>
    <row r="67" spans="2:13" ht="12.95" customHeight="1" x14ac:dyDescent="0.2">
      <c r="B67" s="125" t="s">
        <v>58</v>
      </c>
      <c r="C67" s="123">
        <f>C65-C66</f>
        <v>718290312.42999983</v>
      </c>
      <c r="D67" s="61">
        <f t="shared" ref="D67:I67" si="6">D65-D66</f>
        <v>487437676.01999998</v>
      </c>
      <c r="E67" s="61">
        <f t="shared" si="6"/>
        <v>561207399.41000009</v>
      </c>
      <c r="F67" s="61">
        <f t="shared" si="6"/>
        <v>10013086.420000002</v>
      </c>
      <c r="G67" s="61">
        <f t="shared" si="6"/>
        <v>0</v>
      </c>
      <c r="H67" s="61">
        <f t="shared" si="6"/>
        <v>0</v>
      </c>
      <c r="I67" s="61">
        <f t="shared" si="6"/>
        <v>0</v>
      </c>
      <c r="J67" s="50">
        <f>IF($D$65=0,"",100*$D67/$D$65)</f>
        <v>48.505758394697139</v>
      </c>
      <c r="K67" s="63">
        <f>IF(C67=0,"",100*D67/C67)</f>
        <v>67.860817219013057</v>
      </c>
    </row>
    <row r="68" spans="2:13" ht="20.100000000000001" customHeight="1" x14ac:dyDescent="0.2">
      <c r="B68" s="117" t="str">
        <f>CONCATENATE("Informacja z wykonania budżetów powiatów za ",$D$103," ",$C$104," rok     ",$C$106,"")</f>
        <v xml:space="preserve">Informacja z wykonania budżetów powiatów za III Kwartały 2023 rok     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2:13" x14ac:dyDescent="0.2">
      <c r="B69" s="28" t="s">
        <v>16</v>
      </c>
      <c r="C69" s="95" t="s">
        <v>17</v>
      </c>
      <c r="D69" s="71" t="s">
        <v>1</v>
      </c>
      <c r="E69" s="139" t="s">
        <v>85</v>
      </c>
      <c r="F69" s="140"/>
      <c r="G69" s="140"/>
      <c r="H69" s="140"/>
      <c r="I69" s="141"/>
      <c r="J69" s="18" t="s">
        <v>22</v>
      </c>
      <c r="K69" s="18" t="s">
        <v>23</v>
      </c>
    </row>
    <row r="70" spans="2:13" x14ac:dyDescent="0.2">
      <c r="B70" s="28"/>
      <c r="C70" s="134" t="s">
        <v>59</v>
      </c>
      <c r="D70" s="149"/>
      <c r="E70" s="142"/>
      <c r="F70" s="143"/>
      <c r="G70" s="143"/>
      <c r="H70" s="143"/>
      <c r="I70" s="144"/>
      <c r="J70" s="130" t="s">
        <v>4</v>
      </c>
      <c r="K70" s="131"/>
    </row>
    <row r="71" spans="2:13" x14ac:dyDescent="0.2">
      <c r="B71" s="26">
        <v>1</v>
      </c>
      <c r="C71" s="29">
        <v>2</v>
      </c>
      <c r="D71" s="27">
        <v>3</v>
      </c>
      <c r="E71" s="145"/>
      <c r="F71" s="146"/>
      <c r="G71" s="146"/>
      <c r="H71" s="146"/>
      <c r="I71" s="147"/>
      <c r="J71" s="27">
        <v>4</v>
      </c>
      <c r="K71" s="27">
        <v>5</v>
      </c>
    </row>
    <row r="72" spans="2:13" ht="26.85" customHeight="1" x14ac:dyDescent="0.2">
      <c r="B72" s="105" t="s">
        <v>46</v>
      </c>
      <c r="C72" s="44">
        <f>6184908021.16</f>
        <v>6184908021.1599998</v>
      </c>
      <c r="D72" s="72">
        <f>5925292158.9</f>
        <v>5925292158.8999996</v>
      </c>
      <c r="E72" s="102" t="s">
        <v>85</v>
      </c>
      <c r="F72" s="102" t="s">
        <v>85</v>
      </c>
      <c r="G72" s="102" t="s">
        <v>85</v>
      </c>
      <c r="H72" s="102" t="s">
        <v>85</v>
      </c>
      <c r="I72" s="102" t="s">
        <v>85</v>
      </c>
      <c r="J72" s="45">
        <f>IF($D$72=0,"",100*$D72/$D$72)</f>
        <v>100</v>
      </c>
      <c r="K72" s="39">
        <f t="shared" ref="K72:K86" si="7">IF(C72=0,"",100*D72/C72)</f>
        <v>95.802429698682758</v>
      </c>
    </row>
    <row r="73" spans="2:13" ht="25.5" customHeight="1" x14ac:dyDescent="0.2">
      <c r="B73" s="119" t="s">
        <v>69</v>
      </c>
      <c r="C73" s="46">
        <f>2055414643.18</f>
        <v>2055414643.1800001</v>
      </c>
      <c r="D73" s="98">
        <f>303447920.83</f>
        <v>303447920.82999998</v>
      </c>
      <c r="E73" s="102" t="s">
        <v>85</v>
      </c>
      <c r="F73" s="102" t="s">
        <v>85</v>
      </c>
      <c r="G73" s="102" t="s">
        <v>85</v>
      </c>
      <c r="H73" s="102" t="s">
        <v>85</v>
      </c>
      <c r="I73" s="102" t="s">
        <v>85</v>
      </c>
      <c r="J73" s="47">
        <f t="shared" ref="J73:J82" si="8">IF($D$72=0,"",100*$D73/$D$72)</f>
        <v>5.1212313704094816</v>
      </c>
      <c r="K73" s="48">
        <f t="shared" si="7"/>
        <v>14.763343339839482</v>
      </c>
    </row>
    <row r="74" spans="2:13" ht="22.5" x14ac:dyDescent="0.2">
      <c r="B74" s="120" t="s">
        <v>70</v>
      </c>
      <c r="C74" s="66">
        <f>162422000</f>
        <v>162422000</v>
      </c>
      <c r="D74" s="56">
        <f>50172000</f>
        <v>50172000</v>
      </c>
      <c r="E74" s="102" t="s">
        <v>85</v>
      </c>
      <c r="F74" s="102" t="s">
        <v>85</v>
      </c>
      <c r="G74" s="102" t="s">
        <v>85</v>
      </c>
      <c r="H74" s="102" t="s">
        <v>85</v>
      </c>
      <c r="I74" s="102" t="s">
        <v>85</v>
      </c>
      <c r="J74" s="67">
        <f t="shared" si="8"/>
        <v>0.8467430576337045</v>
      </c>
      <c r="K74" s="68">
        <f t="shared" si="7"/>
        <v>30.889904077033901</v>
      </c>
    </row>
    <row r="75" spans="2:13" ht="12.95" customHeight="1" x14ac:dyDescent="0.2">
      <c r="B75" s="118" t="s">
        <v>71</v>
      </c>
      <c r="C75" s="66">
        <f>58198093.81</f>
        <v>58198093.810000002</v>
      </c>
      <c r="D75" s="56">
        <f>15777153.9</f>
        <v>15777153.9</v>
      </c>
      <c r="E75" s="102" t="s">
        <v>85</v>
      </c>
      <c r="F75" s="102" t="s">
        <v>85</v>
      </c>
      <c r="G75" s="102" t="s">
        <v>85</v>
      </c>
      <c r="H75" s="102" t="s">
        <v>85</v>
      </c>
      <c r="I75" s="102" t="s">
        <v>85</v>
      </c>
      <c r="J75" s="67">
        <f t="shared" si="8"/>
        <v>0.26626794893652889</v>
      </c>
      <c r="K75" s="68">
        <f t="shared" si="7"/>
        <v>27.10939975372365</v>
      </c>
    </row>
    <row r="76" spans="2:13" ht="48.75" customHeight="1" x14ac:dyDescent="0.2">
      <c r="B76" s="118" t="s">
        <v>78</v>
      </c>
      <c r="C76" s="66">
        <f>1327066193.49</f>
        <v>1327066193.49</v>
      </c>
      <c r="D76" s="56">
        <f>1993744037.17</f>
        <v>1993744037.1700001</v>
      </c>
      <c r="E76" s="102" t="s">
        <v>85</v>
      </c>
      <c r="F76" s="102" t="s">
        <v>85</v>
      </c>
      <c r="G76" s="102" t="s">
        <v>85</v>
      </c>
      <c r="H76" s="102" t="s">
        <v>85</v>
      </c>
      <c r="I76" s="102" t="s">
        <v>85</v>
      </c>
      <c r="J76" s="67">
        <f t="shared" si="8"/>
        <v>33.648029222919</v>
      </c>
      <c r="K76" s="68">
        <f t="shared" si="7"/>
        <v>150.23696986257556</v>
      </c>
    </row>
    <row r="77" spans="2:13" ht="35.25" customHeight="1" x14ac:dyDescent="0.2">
      <c r="B77" s="118" t="s">
        <v>79</v>
      </c>
      <c r="C77" s="66">
        <f>842294688.43</f>
        <v>842294688.42999995</v>
      </c>
      <c r="D77" s="56">
        <f>918838434.24</f>
        <v>918838434.24000001</v>
      </c>
      <c r="E77" s="102" t="s">
        <v>85</v>
      </c>
      <c r="F77" s="102" t="s">
        <v>85</v>
      </c>
      <c r="G77" s="102" t="s">
        <v>85</v>
      </c>
      <c r="H77" s="102" t="s">
        <v>85</v>
      </c>
      <c r="I77" s="102" t="s">
        <v>85</v>
      </c>
      <c r="J77" s="67">
        <f t="shared" si="8"/>
        <v>15.50705702941368</v>
      </c>
      <c r="K77" s="68">
        <f t="shared" si="7"/>
        <v>109.08752564410375</v>
      </c>
    </row>
    <row r="78" spans="2:13" ht="12.95" customHeight="1" x14ac:dyDescent="0.2">
      <c r="B78" s="118" t="s">
        <v>72</v>
      </c>
      <c r="C78" s="66">
        <f>0</f>
        <v>0</v>
      </c>
      <c r="D78" s="56">
        <f>0</f>
        <v>0</v>
      </c>
      <c r="E78" s="102" t="s">
        <v>85</v>
      </c>
      <c r="F78" s="102" t="s">
        <v>85</v>
      </c>
      <c r="G78" s="102" t="s">
        <v>85</v>
      </c>
      <c r="H78" s="102" t="s">
        <v>85</v>
      </c>
      <c r="I78" s="102" t="s">
        <v>85</v>
      </c>
      <c r="J78" s="67">
        <f t="shared" si="8"/>
        <v>0</v>
      </c>
      <c r="K78" s="68" t="str">
        <f t="shared" si="7"/>
        <v/>
      </c>
    </row>
    <row r="79" spans="2:13" ht="33.75" x14ac:dyDescent="0.2">
      <c r="B79" s="118" t="s">
        <v>73</v>
      </c>
      <c r="C79" s="66">
        <f>1765967091.63</f>
        <v>1765967091.6300001</v>
      </c>
      <c r="D79" s="56">
        <f>2531302062.57</f>
        <v>2531302062.5700002</v>
      </c>
      <c r="E79" s="102" t="s">
        <v>85</v>
      </c>
      <c r="F79" s="102" t="s">
        <v>85</v>
      </c>
      <c r="G79" s="102" t="s">
        <v>85</v>
      </c>
      <c r="H79" s="102" t="s">
        <v>85</v>
      </c>
      <c r="I79" s="102" t="s">
        <v>85</v>
      </c>
      <c r="J79" s="67">
        <f t="shared" si="8"/>
        <v>42.720291163498068</v>
      </c>
      <c r="K79" s="68">
        <f t="shared" si="7"/>
        <v>143.33800865074957</v>
      </c>
    </row>
    <row r="80" spans="2:13" ht="56.25" x14ac:dyDescent="0.2">
      <c r="B80" s="118" t="s">
        <v>101</v>
      </c>
      <c r="C80" s="66">
        <f>0</f>
        <v>0</v>
      </c>
      <c r="D80" s="56">
        <f>26191846.77</f>
        <v>26191846.77</v>
      </c>
      <c r="E80" s="102" t="s">
        <v>85</v>
      </c>
      <c r="F80" s="102" t="s">
        <v>85</v>
      </c>
      <c r="G80" s="102" t="s">
        <v>85</v>
      </c>
      <c r="H80" s="102" t="s">
        <v>85</v>
      </c>
      <c r="I80" s="102" t="s">
        <v>85</v>
      </c>
      <c r="J80" s="67">
        <f t="shared" si="8"/>
        <v>0.44203468905172744</v>
      </c>
      <c r="K80" s="68" t="str">
        <f>IF(C80=0,"",100*D80/C80)</f>
        <v/>
      </c>
    </row>
    <row r="81" spans="2:11" x14ac:dyDescent="0.2">
      <c r="B81" s="118" t="s">
        <v>97</v>
      </c>
      <c r="C81" s="66">
        <f>135967310.62</f>
        <v>135967310.62</v>
      </c>
      <c r="D81" s="56">
        <f>135990703.42</f>
        <v>135990703.41999999</v>
      </c>
      <c r="E81" s="102" t="s">
        <v>85</v>
      </c>
      <c r="F81" s="102" t="s">
        <v>85</v>
      </c>
      <c r="G81" s="102" t="s">
        <v>85</v>
      </c>
      <c r="H81" s="102" t="s">
        <v>85</v>
      </c>
      <c r="I81" s="102" t="s">
        <v>85</v>
      </c>
      <c r="J81" s="67">
        <f t="shared" si="8"/>
        <v>2.2950885757715271</v>
      </c>
      <c r="K81" s="68">
        <f>IF(C81=0,"",100*D81/C81)</f>
        <v>100.01720472361578</v>
      </c>
    </row>
    <row r="82" spans="2:11" ht="23.25" customHeight="1" x14ac:dyDescent="0.2">
      <c r="B82" s="120" t="s">
        <v>98</v>
      </c>
      <c r="C82" s="66">
        <f>135967310.62</f>
        <v>135967310.62</v>
      </c>
      <c r="D82" s="56">
        <f>135990703.42</f>
        <v>135990703.41999999</v>
      </c>
      <c r="E82" s="102" t="s">
        <v>85</v>
      </c>
      <c r="F82" s="102" t="s">
        <v>85</v>
      </c>
      <c r="G82" s="102" t="s">
        <v>85</v>
      </c>
      <c r="H82" s="102" t="s">
        <v>85</v>
      </c>
      <c r="I82" s="102" t="s">
        <v>85</v>
      </c>
      <c r="J82" s="67">
        <f t="shared" si="8"/>
        <v>2.2950885757715271</v>
      </c>
      <c r="K82" s="68">
        <f>IF(C82=0,"",100*D82/C82)</f>
        <v>100.01720472361578</v>
      </c>
    </row>
    <row r="83" spans="2:11" ht="26.85" customHeight="1" x14ac:dyDescent="0.2">
      <c r="B83" s="105" t="s">
        <v>47</v>
      </c>
      <c r="C83" s="51">
        <f>998174444.29</f>
        <v>998174444.28999996</v>
      </c>
      <c r="D83" s="72">
        <f>737021880.65</f>
        <v>737021880.64999998</v>
      </c>
      <c r="E83" s="102" t="s">
        <v>85</v>
      </c>
      <c r="F83" s="102" t="s">
        <v>85</v>
      </c>
      <c r="G83" s="102" t="s">
        <v>85</v>
      </c>
      <c r="H83" s="102" t="s">
        <v>85</v>
      </c>
      <c r="I83" s="102" t="s">
        <v>85</v>
      </c>
      <c r="J83" s="45">
        <f t="shared" ref="J83:J88" si="9">IF($D$83=0,"",100*$D83/$D$83)</f>
        <v>100</v>
      </c>
      <c r="K83" s="39">
        <f t="shared" si="7"/>
        <v>73.836981588347783</v>
      </c>
    </row>
    <row r="84" spans="2:11" ht="33.75" x14ac:dyDescent="0.2">
      <c r="B84" s="119" t="s">
        <v>102</v>
      </c>
      <c r="C84" s="46">
        <f>792042659.08</f>
        <v>792042659.08000004</v>
      </c>
      <c r="D84" s="99">
        <f>465792016.38</f>
        <v>465792016.38</v>
      </c>
      <c r="E84" s="102" t="s">
        <v>85</v>
      </c>
      <c r="F84" s="102" t="s">
        <v>85</v>
      </c>
      <c r="G84" s="102" t="s">
        <v>85</v>
      </c>
      <c r="H84" s="102" t="s">
        <v>85</v>
      </c>
      <c r="I84" s="102" t="s">
        <v>85</v>
      </c>
      <c r="J84" s="47">
        <f t="shared" si="9"/>
        <v>63.199211395081669</v>
      </c>
      <c r="K84" s="48">
        <f t="shared" si="7"/>
        <v>58.808955684412553</v>
      </c>
    </row>
    <row r="85" spans="2:11" ht="12.95" customHeight="1" x14ac:dyDescent="0.2">
      <c r="B85" s="120" t="s">
        <v>74</v>
      </c>
      <c r="C85" s="66">
        <f>26138034</f>
        <v>26138034</v>
      </c>
      <c r="D85" s="56">
        <f>9500000</f>
        <v>9500000</v>
      </c>
      <c r="E85" s="102" t="s">
        <v>85</v>
      </c>
      <c r="F85" s="102" t="s">
        <v>85</v>
      </c>
      <c r="G85" s="102" t="s">
        <v>85</v>
      </c>
      <c r="H85" s="102" t="s">
        <v>85</v>
      </c>
      <c r="I85" s="102" t="s">
        <v>85</v>
      </c>
      <c r="J85" s="67">
        <f t="shared" si="9"/>
        <v>1.2889712299479748</v>
      </c>
      <c r="K85" s="68">
        <f t="shared" si="7"/>
        <v>36.345503261645462</v>
      </c>
    </row>
    <row r="86" spans="2:11" ht="12.95" customHeight="1" x14ac:dyDescent="0.2">
      <c r="B86" s="118" t="s">
        <v>83</v>
      </c>
      <c r="C86" s="66">
        <f>79063350.56</f>
        <v>79063350.560000002</v>
      </c>
      <c r="D86" s="56">
        <f>72883236.04</f>
        <v>72883236.040000007</v>
      </c>
      <c r="E86" s="102" t="s">
        <v>85</v>
      </c>
      <c r="F86" s="102" t="s">
        <v>85</v>
      </c>
      <c r="G86" s="102" t="s">
        <v>85</v>
      </c>
      <c r="H86" s="102" t="s">
        <v>85</v>
      </c>
      <c r="I86" s="102" t="s">
        <v>85</v>
      </c>
      <c r="J86" s="67">
        <f t="shared" si="9"/>
        <v>9.8888836211649878</v>
      </c>
      <c r="K86" s="68">
        <f t="shared" si="7"/>
        <v>92.183338454256386</v>
      </c>
    </row>
    <row r="87" spans="2:11" ht="12.95" customHeight="1" x14ac:dyDescent="0.2">
      <c r="B87" s="118" t="s">
        <v>99</v>
      </c>
      <c r="C87" s="66">
        <f>127068434.65</f>
        <v>127068434.65000001</v>
      </c>
      <c r="D87" s="56">
        <f>198346628.23</f>
        <v>198346628.22999999</v>
      </c>
      <c r="E87" s="102" t="s">
        <v>85</v>
      </c>
      <c r="F87" s="102" t="s">
        <v>85</v>
      </c>
      <c r="G87" s="102" t="s">
        <v>85</v>
      </c>
      <c r="H87" s="102" t="s">
        <v>85</v>
      </c>
      <c r="I87" s="102" t="s">
        <v>85</v>
      </c>
      <c r="J87" s="67">
        <f t="shared" si="9"/>
        <v>26.911904983753349</v>
      </c>
      <c r="K87" s="68">
        <f>IF(C87=0,"",100*D87/C87)</f>
        <v>156.09433513234831</v>
      </c>
    </row>
    <row r="88" spans="2:11" ht="22.5" x14ac:dyDescent="0.2">
      <c r="B88" s="120" t="s">
        <v>100</v>
      </c>
      <c r="C88" s="66">
        <f>88685823.22</f>
        <v>88685823.219999999</v>
      </c>
      <c r="D88" s="56">
        <f>23834194.44</f>
        <v>23834194.440000001</v>
      </c>
      <c r="E88" s="102" t="s">
        <v>85</v>
      </c>
      <c r="F88" s="102" t="s">
        <v>85</v>
      </c>
      <c r="G88" s="102" t="s">
        <v>85</v>
      </c>
      <c r="H88" s="102" t="s">
        <v>85</v>
      </c>
      <c r="I88" s="102" t="s">
        <v>85</v>
      </c>
      <c r="J88" s="67">
        <f t="shared" si="9"/>
        <v>3.2338516760153668</v>
      </c>
      <c r="K88" s="68">
        <f>IF(C88=0,"",100*D88/C88)</f>
        <v>26.874864070298248</v>
      </c>
    </row>
    <row r="89" spans="2:11" x14ac:dyDescent="0.2">
      <c r="B89" s="25"/>
    </row>
    <row r="90" spans="2:11" x14ac:dyDescent="0.2">
      <c r="B90" s="52" t="s">
        <v>16</v>
      </c>
      <c r="C90" s="79" t="s">
        <v>17</v>
      </c>
      <c r="D90" s="18" t="s">
        <v>1</v>
      </c>
    </row>
    <row r="91" spans="2:11" x14ac:dyDescent="0.2">
      <c r="B91" s="52"/>
      <c r="C91" s="132" t="s">
        <v>59</v>
      </c>
      <c r="D91" s="132"/>
    </row>
    <row r="92" spans="2:11" x14ac:dyDescent="0.2">
      <c r="B92" s="26">
        <v>1</v>
      </c>
      <c r="C92" s="27">
        <v>2</v>
      </c>
      <c r="D92" s="27">
        <v>3</v>
      </c>
    </row>
    <row r="93" spans="2:11" ht="36" customHeight="1" x14ac:dyDescent="0.2">
      <c r="B93" s="53" t="s">
        <v>103</v>
      </c>
      <c r="C93" s="49">
        <f>5188363098.64</f>
        <v>5188363098.6400003</v>
      </c>
      <c r="D93" s="96">
        <f>0</f>
        <v>0</v>
      </c>
    </row>
    <row r="94" spans="2:11" ht="35.25" customHeight="1" x14ac:dyDescent="0.2">
      <c r="B94" s="121" t="s">
        <v>61</v>
      </c>
      <c r="C94" s="66">
        <f>128250356</f>
        <v>128250356</v>
      </c>
      <c r="D94" s="56">
        <f>0</f>
        <v>0</v>
      </c>
    </row>
    <row r="95" spans="2:11" ht="12.95" customHeight="1" x14ac:dyDescent="0.2">
      <c r="B95" s="121" t="s">
        <v>62</v>
      </c>
      <c r="C95" s="66">
        <f>1503735319.82</f>
        <v>1503735319.8199999</v>
      </c>
      <c r="D95" s="56">
        <f>0</f>
        <v>0</v>
      </c>
    </row>
    <row r="96" spans="2:11" ht="24" customHeight="1" x14ac:dyDescent="0.2">
      <c r="B96" s="121" t="s">
        <v>63</v>
      </c>
      <c r="C96" s="66">
        <f>0</f>
        <v>0</v>
      </c>
      <c r="D96" s="56">
        <f>0</f>
        <v>0</v>
      </c>
    </row>
    <row r="97" spans="2:4" ht="57.75" customHeight="1" x14ac:dyDescent="0.2">
      <c r="B97" s="121" t="s">
        <v>80</v>
      </c>
      <c r="C97" s="66">
        <f>1260343824.06</f>
        <v>1260343824.0599999</v>
      </c>
      <c r="D97" s="56">
        <f>0</f>
        <v>0</v>
      </c>
    </row>
    <row r="98" spans="2:4" ht="81" customHeight="1" x14ac:dyDescent="0.2">
      <c r="B98" s="121" t="s">
        <v>64</v>
      </c>
      <c r="C98" s="66">
        <f>1362476494.74</f>
        <v>1362476494.74</v>
      </c>
      <c r="D98" s="56">
        <f>0</f>
        <v>0</v>
      </c>
    </row>
    <row r="99" spans="2:4" ht="149.25" customHeight="1" x14ac:dyDescent="0.2">
      <c r="B99" s="121" t="s">
        <v>81</v>
      </c>
      <c r="C99" s="66">
        <f>819171637.83</f>
        <v>819171637.83000004</v>
      </c>
      <c r="D99" s="56">
        <f>0</f>
        <v>0</v>
      </c>
    </row>
    <row r="100" spans="2:4" ht="25.5" customHeight="1" x14ac:dyDescent="0.2">
      <c r="B100" s="121" t="s">
        <v>82</v>
      </c>
      <c r="C100" s="66">
        <f>16233912.05</f>
        <v>16233912.050000001</v>
      </c>
      <c r="D100" s="56">
        <f>0</f>
        <v>0</v>
      </c>
    </row>
    <row r="101" spans="2:4" ht="25.5" customHeight="1" x14ac:dyDescent="0.2">
      <c r="B101" s="129" t="s">
        <v>98</v>
      </c>
      <c r="C101" s="66">
        <f>98151554.14</f>
        <v>98151554.140000001</v>
      </c>
      <c r="D101" s="56">
        <f>0</f>
        <v>0</v>
      </c>
    </row>
    <row r="103" spans="2:4" ht="10.5" customHeight="1" x14ac:dyDescent="0.2">
      <c r="B103" s="24" t="s">
        <v>48</v>
      </c>
      <c r="C103" s="24">
        <f>3</f>
        <v>3</v>
      </c>
      <c r="D103" s="24" t="str">
        <f>IF(C103=1,"I Kwartał",IF(C103=2,"II Kwartały",IF(C103=3,"III Kwartały",IF(C103=4,"IV Kwartały",IF(C103="M1","Styczeń",IF(C103="M11","Listopad",IF(C103="M12","Grudzień","-")))))))</f>
        <v>III Kwartały</v>
      </c>
    </row>
    <row r="104" spans="2:4" ht="10.5" customHeight="1" x14ac:dyDescent="0.2">
      <c r="B104" s="24" t="s">
        <v>49</v>
      </c>
      <c r="C104" s="100">
        <f>2023</f>
        <v>2023</v>
      </c>
      <c r="D104" s="25"/>
    </row>
    <row r="105" spans="2:4" ht="12" customHeight="1" x14ac:dyDescent="0.2">
      <c r="B105" s="24" t="s">
        <v>50</v>
      </c>
      <c r="C105" s="137" t="str">
        <f>"Nov 14 2023 12:00AM"</f>
        <v>Nov 14 2023 12:00AM</v>
      </c>
      <c r="D105" s="138"/>
    </row>
    <row r="106" spans="2:4" ht="9.75" hidden="1" customHeight="1" x14ac:dyDescent="0.2">
      <c r="B106" s="24" t="s">
        <v>54</v>
      </c>
      <c r="C106" s="101" t="str">
        <f>""</f>
        <v/>
      </c>
      <c r="D106" s="25"/>
    </row>
  </sheetData>
  <mergeCells count="22">
    <mergeCell ref="C3:D3"/>
    <mergeCell ref="J3:L3"/>
    <mergeCell ref="E3:I4"/>
    <mergeCell ref="B2:B3"/>
    <mergeCell ref="C46:C48"/>
    <mergeCell ref="B46:B49"/>
    <mergeCell ref="I46:I48"/>
    <mergeCell ref="C49:I49"/>
    <mergeCell ref="C105:D105"/>
    <mergeCell ref="E69:I71"/>
    <mergeCell ref="F46:H46"/>
    <mergeCell ref="G47:H47"/>
    <mergeCell ref="C70:D70"/>
    <mergeCell ref="C91:D91"/>
    <mergeCell ref="J70:K70"/>
    <mergeCell ref="D46:D48"/>
    <mergeCell ref="E46:E48"/>
    <mergeCell ref="F47:F48"/>
    <mergeCell ref="I61:J61"/>
    <mergeCell ref="K46:K48"/>
    <mergeCell ref="J46:J48"/>
    <mergeCell ref="J49:K49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3" max="16383" man="1"/>
    <brk id="67" max="16383" man="1"/>
    <brk id="8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2023-11-27T09:47:20Z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