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HHCY\Documents\```ST7\Besti@\2024\II kwartał\2024.08.14 Ostateczne wygenerował Piotr\II KWARTAŁ\Zbiorówki_2024_k2_20230814\MF\"/>
    </mc:Choice>
  </mc:AlternateContent>
  <xr:revisionPtr revIDLastSave="0" documentId="8_{995A87CD-0D48-4777-8711-6FF3E452A7EB}" xr6:coauthVersionLast="47" xr6:coauthVersionMax="47" xr10:uidLastSave="{00000000-0000-0000-0000-000000000000}"/>
  <bookViews>
    <workbookView xWindow="-120" yWindow="-120" windowWidth="29040" windowHeight="15720"/>
  </bookViews>
  <sheets>
    <sheet name="doch_wyd" sheetId="4" r:id="rId1"/>
  </sheets>
  <definedNames>
    <definedName name="_xlnm.Print_Area" localSheetId="0">doch_wyd!$B$1:$L$107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7" i="4" l="1"/>
  <c r="C106" i="4"/>
  <c r="C105" i="4"/>
  <c r="C104" i="4"/>
  <c r="D102" i="4"/>
  <c r="C102" i="4"/>
  <c r="D101" i="4"/>
  <c r="C101" i="4"/>
  <c r="D100" i="4"/>
  <c r="C100" i="4"/>
  <c r="D99" i="4"/>
  <c r="C99" i="4"/>
  <c r="D98" i="4"/>
  <c r="C98" i="4"/>
  <c r="D97" i="4"/>
  <c r="C97" i="4"/>
  <c r="D96" i="4"/>
  <c r="C96" i="4"/>
  <c r="D95" i="4"/>
  <c r="C95" i="4"/>
  <c r="D94" i="4"/>
  <c r="C94" i="4"/>
  <c r="D89" i="4"/>
  <c r="C89" i="4"/>
  <c r="D88" i="4"/>
  <c r="K88" i="4"/>
  <c r="C88" i="4"/>
  <c r="D87" i="4"/>
  <c r="C87" i="4"/>
  <c r="D86" i="4"/>
  <c r="C86" i="4"/>
  <c r="D85" i="4"/>
  <c r="C85" i="4"/>
  <c r="K85" i="4"/>
  <c r="D84" i="4"/>
  <c r="C84" i="4"/>
  <c r="D83" i="4"/>
  <c r="C83" i="4"/>
  <c r="D82" i="4"/>
  <c r="C82" i="4"/>
  <c r="D81" i="4"/>
  <c r="C81" i="4"/>
  <c r="D80" i="4"/>
  <c r="C80" i="4"/>
  <c r="D79" i="4"/>
  <c r="C79" i="4"/>
  <c r="D78" i="4"/>
  <c r="C78" i="4"/>
  <c r="K78" i="4"/>
  <c r="D77" i="4"/>
  <c r="C77" i="4"/>
  <c r="D76" i="4"/>
  <c r="C76" i="4"/>
  <c r="D75" i="4"/>
  <c r="C75" i="4"/>
  <c r="D74" i="4"/>
  <c r="C74" i="4"/>
  <c r="D73" i="4"/>
  <c r="C73" i="4"/>
  <c r="I67" i="4"/>
  <c r="H67" i="4"/>
  <c r="G67" i="4"/>
  <c r="F67" i="4"/>
  <c r="E67" i="4"/>
  <c r="D67" i="4"/>
  <c r="C67" i="4"/>
  <c r="I66" i="4"/>
  <c r="H66" i="4"/>
  <c r="G66" i="4"/>
  <c r="G68" i="4"/>
  <c r="F66" i="4"/>
  <c r="F68" i="4"/>
  <c r="E66" i="4"/>
  <c r="D66" i="4"/>
  <c r="C66" i="4"/>
  <c r="I60" i="4"/>
  <c r="H60" i="4"/>
  <c r="G60" i="4"/>
  <c r="F60" i="4"/>
  <c r="E60" i="4"/>
  <c r="D60" i="4"/>
  <c r="C60" i="4"/>
  <c r="I59" i="4"/>
  <c r="H59" i="4"/>
  <c r="G59" i="4"/>
  <c r="F59" i="4"/>
  <c r="E59" i="4"/>
  <c r="D59" i="4"/>
  <c r="C59" i="4"/>
  <c r="I58" i="4"/>
  <c r="H58" i="4"/>
  <c r="G58" i="4"/>
  <c r="F58" i="4"/>
  <c r="E58" i="4"/>
  <c r="D58" i="4"/>
  <c r="J58" i="4"/>
  <c r="C58" i="4"/>
  <c r="I57" i="4"/>
  <c r="H57" i="4"/>
  <c r="G57" i="4"/>
  <c r="F57" i="4"/>
  <c r="E57" i="4"/>
  <c r="D57" i="4"/>
  <c r="C57" i="4"/>
  <c r="I56" i="4"/>
  <c r="H56" i="4"/>
  <c r="G56" i="4"/>
  <c r="F56" i="4"/>
  <c r="E56" i="4"/>
  <c r="D56" i="4"/>
  <c r="C56" i="4"/>
  <c r="I54" i="4"/>
  <c r="H54" i="4"/>
  <c r="G54" i="4"/>
  <c r="F54" i="4"/>
  <c r="E54" i="4"/>
  <c r="D54" i="4"/>
  <c r="J54" i="4"/>
  <c r="C54" i="4"/>
  <c r="I53" i="4"/>
  <c r="H53" i="4"/>
  <c r="G53" i="4"/>
  <c r="G55" i="4"/>
  <c r="G61" i="4"/>
  <c r="F53" i="4"/>
  <c r="E53" i="4"/>
  <c r="D53" i="4"/>
  <c r="D55" i="4"/>
  <c r="C53" i="4"/>
  <c r="I52" i="4"/>
  <c r="H52" i="4"/>
  <c r="G52" i="4"/>
  <c r="F52" i="4"/>
  <c r="E52" i="4"/>
  <c r="D52" i="4"/>
  <c r="J57" i="4"/>
  <c r="C52" i="4"/>
  <c r="C55" i="4"/>
  <c r="D42" i="4"/>
  <c r="C42" i="4"/>
  <c r="D40" i="4"/>
  <c r="C40" i="4"/>
  <c r="D39" i="4"/>
  <c r="C39" i="4"/>
  <c r="D38" i="4"/>
  <c r="C38" i="4"/>
  <c r="D37" i="4"/>
  <c r="C37" i="4"/>
  <c r="C35" i="4"/>
  <c r="D36" i="4"/>
  <c r="C36" i="4"/>
  <c r="D34" i="4"/>
  <c r="C34" i="4"/>
  <c r="D33" i="4"/>
  <c r="K33" i="4"/>
  <c r="C33" i="4"/>
  <c r="D32" i="4"/>
  <c r="C32" i="4"/>
  <c r="D31" i="4"/>
  <c r="C31" i="4"/>
  <c r="D30" i="4"/>
  <c r="C30" i="4"/>
  <c r="D29" i="4"/>
  <c r="C29" i="4"/>
  <c r="D28" i="4"/>
  <c r="J28" i="4"/>
  <c r="C28" i="4"/>
  <c r="D27" i="4"/>
  <c r="C27" i="4"/>
  <c r="D26" i="4"/>
  <c r="K26" i="4"/>
  <c r="C26" i="4"/>
  <c r="D25" i="4"/>
  <c r="C25" i="4"/>
  <c r="D24" i="4"/>
  <c r="C24" i="4"/>
  <c r="D23" i="4"/>
  <c r="C23" i="4"/>
  <c r="D22" i="4"/>
  <c r="C22" i="4"/>
  <c r="D21" i="4"/>
  <c r="C21" i="4"/>
  <c r="D20" i="4"/>
  <c r="C20" i="4"/>
  <c r="D19" i="4"/>
  <c r="C19" i="4"/>
  <c r="D18" i="4"/>
  <c r="K18" i="4"/>
  <c r="C18" i="4"/>
  <c r="D17" i="4"/>
  <c r="C17" i="4"/>
  <c r="C12" i="4"/>
  <c r="C11" i="4"/>
  <c r="D16" i="4"/>
  <c r="C16" i="4"/>
  <c r="K16" i="4"/>
  <c r="D15" i="4"/>
  <c r="C15" i="4"/>
  <c r="D14" i="4"/>
  <c r="C14" i="4"/>
  <c r="D13" i="4"/>
  <c r="C13" i="4"/>
  <c r="D9" i="4"/>
  <c r="C9" i="4"/>
  <c r="D8" i="4"/>
  <c r="C8" i="4"/>
  <c r="D7" i="4"/>
  <c r="C7" i="4"/>
  <c r="K7" i="4"/>
  <c r="D5" i="4"/>
  <c r="J25" i="4"/>
  <c r="C5" i="4"/>
  <c r="J39" i="4"/>
  <c r="J40" i="4"/>
  <c r="K40" i="4"/>
  <c r="K39" i="4"/>
  <c r="K60" i="4"/>
  <c r="K9" i="4"/>
  <c r="K67" i="4"/>
  <c r="J56" i="4"/>
  <c r="J52" i="4"/>
  <c r="K13" i="4"/>
  <c r="K24" i="4"/>
  <c r="K82" i="4"/>
  <c r="D104" i="4"/>
  <c r="B69" i="4"/>
  <c r="K25" i="4"/>
  <c r="K87" i="4"/>
  <c r="K37" i="4"/>
  <c r="K59" i="4"/>
  <c r="K29" i="4"/>
  <c r="E55" i="4"/>
  <c r="E61" i="4"/>
  <c r="K75" i="4"/>
  <c r="F55" i="4"/>
  <c r="K30" i="4"/>
  <c r="K57" i="4"/>
  <c r="K76" i="4"/>
  <c r="K89" i="4"/>
  <c r="H55" i="4"/>
  <c r="H61" i="4"/>
  <c r="I55" i="4"/>
  <c r="I61" i="4"/>
  <c r="H68" i="4"/>
  <c r="K81" i="4"/>
  <c r="K8" i="4"/>
  <c r="K23" i="4"/>
  <c r="K36" i="4"/>
  <c r="K54" i="4"/>
  <c r="I68" i="4"/>
  <c r="K77" i="4"/>
  <c r="K83" i="4"/>
  <c r="K20" i="4"/>
  <c r="K32" i="4"/>
  <c r="K56" i="4"/>
  <c r="J86" i="4"/>
  <c r="J87" i="4"/>
  <c r="J85" i="4"/>
  <c r="J84" i="4"/>
  <c r="J89" i="4"/>
  <c r="K27" i="4"/>
  <c r="K42" i="4"/>
  <c r="K73" i="4"/>
  <c r="J22" i="4"/>
  <c r="J14" i="4"/>
  <c r="J36" i="4"/>
  <c r="J20" i="4"/>
  <c r="J24" i="4"/>
  <c r="J9" i="4"/>
  <c r="J15" i="4"/>
  <c r="J18" i="4"/>
  <c r="J37" i="4"/>
  <c r="J17" i="4"/>
  <c r="J23" i="4"/>
  <c r="J7" i="4"/>
  <c r="J26" i="4"/>
  <c r="D62" i="4"/>
  <c r="J34" i="4"/>
  <c r="J19" i="4"/>
  <c r="J21" i="4"/>
  <c r="J8" i="4"/>
  <c r="J38" i="4"/>
  <c r="J16" i="4"/>
  <c r="J30" i="4"/>
  <c r="J29" i="4"/>
  <c r="J5" i="4"/>
  <c r="J75" i="4"/>
  <c r="J76" i="4"/>
  <c r="J73" i="4"/>
  <c r="J79" i="4"/>
  <c r="J82" i="4"/>
  <c r="J81" i="4"/>
  <c r="J83" i="4"/>
  <c r="J74" i="4"/>
  <c r="J77" i="4"/>
  <c r="J78" i="4"/>
  <c r="J80" i="4"/>
  <c r="K14" i="4"/>
  <c r="K84" i="4"/>
  <c r="J67" i="4"/>
  <c r="J66" i="4"/>
  <c r="D68" i="4"/>
  <c r="J68" i="4"/>
  <c r="K15" i="4"/>
  <c r="K21" i="4"/>
  <c r="E68" i="4"/>
  <c r="K79" i="4"/>
  <c r="K22" i="4"/>
  <c r="K28" i="4"/>
  <c r="K34" i="4"/>
  <c r="K52" i="4"/>
  <c r="K74" i="4"/>
  <c r="K80" i="4"/>
  <c r="K86" i="4"/>
  <c r="B45" i="4"/>
  <c r="B1" i="4"/>
  <c r="J88" i="4"/>
  <c r="K66" i="4"/>
  <c r="C68" i="4"/>
  <c r="K68" i="4"/>
  <c r="F61" i="4"/>
  <c r="K58" i="4"/>
  <c r="D61" i="4"/>
  <c r="J61" i="4"/>
  <c r="J55" i="4"/>
  <c r="J53" i="4"/>
  <c r="K53" i="4"/>
  <c r="J60" i="4"/>
  <c r="J59" i="4"/>
  <c r="K55" i="4"/>
  <c r="C61" i="4"/>
  <c r="D35" i="4"/>
  <c r="K38" i="4"/>
  <c r="C6" i="4"/>
  <c r="C10" i="4"/>
  <c r="K35" i="4"/>
  <c r="K31" i="4"/>
  <c r="D12" i="4"/>
  <c r="D11" i="4"/>
  <c r="K19" i="4"/>
  <c r="K17" i="4"/>
  <c r="K11" i="4"/>
  <c r="J12" i="4"/>
  <c r="K12" i="4"/>
  <c r="J35" i="4"/>
  <c r="J13" i="4"/>
  <c r="J33" i="4"/>
  <c r="J27" i="4"/>
  <c r="J31" i="4"/>
  <c r="D41" i="4"/>
  <c r="J32" i="4"/>
  <c r="K5" i="4"/>
  <c r="C41" i="4"/>
  <c r="C62" i="4"/>
  <c r="D6" i="4"/>
  <c r="K6" i="4"/>
  <c r="K61" i="4"/>
  <c r="J11" i="4"/>
  <c r="D43" i="4"/>
  <c r="J41" i="4"/>
  <c r="J42" i="4"/>
  <c r="K41" i="4"/>
  <c r="C43" i="4"/>
  <c r="L9" i="4"/>
  <c r="L8" i="4"/>
  <c r="L6" i="4"/>
  <c r="J6" i="4"/>
  <c r="L7" i="4"/>
  <c r="D10" i="4"/>
  <c r="L10" i="4"/>
  <c r="D63" i="4"/>
  <c r="J43" i="4"/>
  <c r="K43" i="4"/>
  <c r="C63" i="4"/>
  <c r="K10" i="4"/>
  <c r="J10" i="4"/>
</calcChain>
</file>

<file path=xl/sharedStrings.xml><?xml version="1.0" encoding="utf-8"?>
<sst xmlns="http://schemas.openxmlformats.org/spreadsheetml/2006/main" count="406" uniqueCount="105">
  <si>
    <t xml:space="preserve">Wyszczególnienie </t>
  </si>
  <si>
    <t xml:space="preserve">Wykonanie </t>
  </si>
  <si>
    <t xml:space="preserve">Struktura </t>
  </si>
  <si>
    <t>Struktura dochodów  własnych</t>
  </si>
  <si>
    <t>w %%</t>
  </si>
  <si>
    <t>DOCHODY OGÓŁEM</t>
  </si>
  <si>
    <t>w tym:   inwestycyjne</t>
  </si>
  <si>
    <t xml:space="preserve">na zadania własne </t>
  </si>
  <si>
    <t>otrzymane z funduszy celowych</t>
  </si>
  <si>
    <t>na zadania z zakresu adm. rządowej</t>
  </si>
  <si>
    <t xml:space="preserve">na zadania realizowane na podstawie porozumień  z org. adm. rządowej </t>
  </si>
  <si>
    <t>na zadania realizowane na podstawie porozumień między jst</t>
  </si>
  <si>
    <t>Zobowiązania wg stanu na koniec 
okresu sprawozdawczego</t>
  </si>
  <si>
    <t>w tym:   wydatki na inwestycje</t>
  </si>
  <si>
    <t xml:space="preserve">wydatki majątkowe      </t>
  </si>
  <si>
    <t xml:space="preserve">WYNIK  </t>
  </si>
  <si>
    <t>Wyszczególnienie</t>
  </si>
  <si>
    <t>Plan (po zmianach)</t>
  </si>
  <si>
    <t>Wskaźnik 
(3:2)</t>
  </si>
  <si>
    <t xml:space="preserve">podatek dochodowy od osób fizycznych </t>
  </si>
  <si>
    <t>dochody z majątku</t>
  </si>
  <si>
    <t xml:space="preserve">pozostałe dochody </t>
  </si>
  <si>
    <t>Struktura</t>
  </si>
  <si>
    <t>Wskaźnik</t>
  </si>
  <si>
    <t>w tym wymagalne:</t>
  </si>
  <si>
    <t xml:space="preserve">podatek dochodowy od osób prawnych </t>
  </si>
  <si>
    <r>
      <t xml:space="preserve">Plan 
(po zmianach)
</t>
    </r>
    <r>
      <rPr>
        <b/>
        <sz val="10"/>
        <color indexed="8"/>
        <rFont val="Arial"/>
        <family val="2"/>
        <charset val="238"/>
      </rPr>
      <t>R1</t>
    </r>
  </si>
  <si>
    <r>
      <t xml:space="preserve">Dochody 
wykonane
(wpływy minus zwroty) 
</t>
    </r>
    <r>
      <rPr>
        <b/>
        <sz val="10"/>
        <color indexed="8"/>
        <rFont val="Arial"/>
        <family val="2"/>
        <charset val="238"/>
      </rPr>
      <t>R4</t>
    </r>
  </si>
  <si>
    <t>uzupełnienie subwencji ogólnej</t>
  </si>
  <si>
    <t>część równoważąca</t>
  </si>
  <si>
    <t>część oświatowa</t>
  </si>
  <si>
    <t>część wyrównawcza</t>
  </si>
  <si>
    <t>pozostałe wydatki</t>
  </si>
  <si>
    <t>wydatki na obsługę długu</t>
  </si>
  <si>
    <t>dotacje</t>
  </si>
  <si>
    <r>
      <t xml:space="preserve">powstałe w latach ubiegłych
</t>
    </r>
    <r>
      <rPr>
        <b/>
        <sz val="10"/>
        <rFont val="Arial"/>
        <family val="2"/>
        <charset val="238"/>
      </rPr>
      <t>R12U</t>
    </r>
  </si>
  <si>
    <r>
      <t xml:space="preserve">powstałe w roku bieżącym
</t>
    </r>
    <r>
      <rPr>
        <b/>
        <sz val="10"/>
        <rFont val="Arial"/>
        <family val="2"/>
        <charset val="238"/>
      </rPr>
      <t>R12B</t>
    </r>
  </si>
  <si>
    <r>
      <t xml:space="preserve">Plan 
(po zmianach)
</t>
    </r>
    <r>
      <rPr>
        <b/>
        <sz val="10"/>
        <rFont val="Arial"/>
        <family val="2"/>
        <charset val="238"/>
      </rPr>
      <t>R1</t>
    </r>
  </si>
  <si>
    <r>
      <t xml:space="preserve">Zaangażowanie
</t>
    </r>
    <r>
      <rPr>
        <b/>
        <sz val="10"/>
        <rFont val="Arial"/>
        <family val="2"/>
        <charset val="238"/>
      </rPr>
      <t>R10</t>
    </r>
  </si>
  <si>
    <r>
      <t xml:space="preserve">Wydatki
 wykonane
</t>
    </r>
    <r>
      <rPr>
        <b/>
        <sz val="10"/>
        <rFont val="Arial"/>
        <family val="2"/>
        <charset val="238"/>
      </rPr>
      <t>R4</t>
    </r>
  </si>
  <si>
    <r>
      <t xml:space="preserve">ogółem
</t>
    </r>
    <r>
      <rPr>
        <b/>
        <sz val="10"/>
        <rFont val="Arial"/>
        <family val="2"/>
        <charset val="238"/>
      </rPr>
      <t>R11</t>
    </r>
  </si>
  <si>
    <t>Razem dochody własne 
z tego:</t>
  </si>
  <si>
    <t>Dotacje celowe 
z tego:</t>
  </si>
  <si>
    <t>Subwencja ogólna 
z tego:</t>
  </si>
  <si>
    <t>WYDATKI OGÓŁEM 
z tego:</t>
  </si>
  <si>
    <t>wydatki bieżące 
z tego:</t>
  </si>
  <si>
    <t>Przychody ogółem 
z tego:</t>
  </si>
  <si>
    <t>Rozchody ogółem 
z tego:</t>
  </si>
  <si>
    <t>kwartał</t>
  </si>
  <si>
    <t>rok</t>
  </si>
  <si>
    <t>stanNa</t>
  </si>
  <si>
    <t>wydatki z tytułu udzielania poręczeń i gwarancji</t>
  </si>
  <si>
    <t>świadczenia na rzecz osób fizycznych</t>
  </si>
  <si>
    <t>w tym: inwestycyjne § 620</t>
  </si>
  <si>
    <t>tytul</t>
  </si>
  <si>
    <t>majątkowe</t>
  </si>
  <si>
    <t>bieżące</t>
  </si>
  <si>
    <t>wydatki majątkowe</t>
  </si>
  <si>
    <t>wydatki bieżące</t>
  </si>
  <si>
    <t>w złotych</t>
  </si>
  <si>
    <t>z tytułu pomocy finansowej udzielanej między jst na dofinansowanie własnych zadań</t>
  </si>
  <si>
    <t>sprzedaż papierów wartościowych wyemitowanych przez jednostkę samorządu terytorialnego</t>
  </si>
  <si>
    <t>kredyty i pożyczki</t>
  </si>
  <si>
    <t>prywatyzacja majątku jednostki samorządu terytorialnego</t>
  </si>
  <si>
    <t>wolne środki jako nadwyżka środków pieniężnych na rachunku  bieżącym budżetu jednostki samorządu terytorialnego, wynikających  z rozliczeń wyemitowanych papierów wartościowych, kredytów i  pożyczek z lat ubiegłych</t>
  </si>
  <si>
    <t>w tym: inwestycyjne § 625</t>
  </si>
  <si>
    <r>
      <t xml:space="preserve">Wydatki, które nie wygasły 
z upływem roku budżetowego) 
(art.263 ust. 2 ustawy 
o finansach publicznych) 
</t>
    </r>
    <r>
      <rPr>
        <b/>
        <sz val="10"/>
        <rFont val="Arial"/>
        <family val="2"/>
        <charset val="238"/>
      </rPr>
      <t>R9</t>
    </r>
  </si>
  <si>
    <t>Dotacje §§ 200 i 620</t>
  </si>
  <si>
    <t>Dotacje §§ 205 i 625</t>
  </si>
  <si>
    <t>kredyty, pożyczki, emisja papierów wartościowych w tym:</t>
  </si>
  <si>
    <t>ze sprzedaży papierów wartościowych</t>
  </si>
  <si>
    <t>spłata  udzielonych pożyczek</t>
  </si>
  <si>
    <t>prywatyzacja majątku JST</t>
  </si>
  <si>
    <t>wolne środki, o których mowa w art. 217 ust. 2 pkt 6 ustawy o finansach publicznych</t>
  </si>
  <si>
    <t>wykup papierów wartościowych</t>
  </si>
  <si>
    <t>otrzymane ze środków z Funduszu Przeciwdziałania COVID-19 (m.in. z Rządowego Funduszu Inwestycji Lokalnych)</t>
  </si>
  <si>
    <t>na finansowanie lub dofinansowanie zadań inwestycyjnych obiektów zabytkowych oraz prac remontowych i konserwatorskich przy zabytkach</t>
  </si>
  <si>
    <t>w tym: inwestycyjne</t>
  </si>
  <si>
    <t>nadwyżka z lat ubiegłych, pomniejszona o niewykorzystane środki pieniężne, o których mowa w art. 217 ust. 2 pkt 8 ustawy o finansach publicznych</t>
  </si>
  <si>
    <t>niewykorzystane środki pieniężne, o których mowa w art. 217 ust. 2 pkt 8 ustawy o finansach publicznych</t>
  </si>
  <si>
    <t>nadwyżka budżetu jednostki samorządu terytorialnego z lat ubiegłych, pomniejszona o środki określone w art. 217 ust. 2 pkt 8 ustawy o finansach publicznych</t>
  </si>
  <si>
    <t>niewykorzystane środki pieniężne na rachunku bieżącym budżetu, wynikające z rozliczenia dochodów i wydatków nimi finansowanych związanych ze szczególnymi zasadami wykonywania budżetu określonymi w odrębnych ustawach oraz wynikających z rozliczenia środków określonych w art. 5 ust. 1 pkt 2 ustawy o finansach publicznych i dotacji na realizację programu, projektu lub zadania finansowanego z udziałem tych środków</t>
  </si>
  <si>
    <t>spłaty udzielonych pożyczek w latach ubiegłych</t>
  </si>
  <si>
    <t>udzielone pożyczki</t>
  </si>
  <si>
    <t>wynagrodzenia i składki od nich naliczane</t>
  </si>
  <si>
    <t>#</t>
  </si>
  <si>
    <r>
      <t xml:space="preserve">Obniżenie górnych stawek podatkowych
</t>
    </r>
    <r>
      <rPr>
        <b/>
        <sz val="10"/>
        <color indexed="8"/>
        <rFont val="Arial"/>
        <family val="2"/>
        <charset val="238"/>
      </rPr>
      <t>R7</t>
    </r>
  </si>
  <si>
    <r>
      <t xml:space="preserve">Ulgi i zwolnienia
</t>
    </r>
    <r>
      <rPr>
        <b/>
        <sz val="10"/>
        <color indexed="8"/>
        <rFont val="Arial"/>
        <family val="2"/>
        <charset val="238"/>
      </rPr>
      <t>R8</t>
    </r>
  </si>
  <si>
    <r>
      <t xml:space="preserve">Umorzenie zaległości podatkowych
</t>
    </r>
    <r>
      <rPr>
        <b/>
        <sz val="10"/>
        <color indexed="8"/>
        <rFont val="Arial"/>
        <family val="2"/>
        <charset val="238"/>
      </rPr>
      <t>R11Z</t>
    </r>
  </si>
  <si>
    <r>
      <t xml:space="preserve">Rozłożenie na raty, odroczenie terminu płatności
</t>
    </r>
    <r>
      <rPr>
        <b/>
        <sz val="10"/>
        <color indexed="8"/>
        <rFont val="Arial"/>
        <family val="2"/>
        <charset val="238"/>
      </rPr>
      <t>R11R</t>
    </r>
  </si>
  <si>
    <r>
      <t xml:space="preserve">Potrącenia 
</t>
    </r>
    <r>
      <rPr>
        <b/>
        <sz val="10"/>
        <color indexed="8"/>
        <rFont val="Arial"/>
        <family val="2"/>
        <charset val="238"/>
      </rPr>
      <t>R3</t>
    </r>
  </si>
  <si>
    <t>Dotacje ogółem 
z tego:</t>
  </si>
  <si>
    <t>Wydatki ogółem UE 
z tego:</t>
  </si>
  <si>
    <t>Dochody bieżące
minus
wydatki bieżące</t>
  </si>
  <si>
    <t>otrzymane z Funduszu Pomocy lub z innych środków (*)</t>
  </si>
  <si>
    <t>(*) na finansowanie lub dofinansowanie realizacji zadań w zakresie pomocy obywatelom Ukrainy</t>
  </si>
  <si>
    <t>WYDATKI Z UDZIAŁEM ŚRODKÓW, O KTÓRYCH MOWA W ART. 5 UST. 1 pkt 2</t>
  </si>
  <si>
    <t>inne źródła, w tym:</t>
  </si>
  <si>
    <t>środki z lokat dokonanych w latach ubiegłych</t>
  </si>
  <si>
    <t>inne cele, w tym:</t>
  </si>
  <si>
    <t>lokaty na okres wykraczający poza rok budżetowy</t>
  </si>
  <si>
    <t>stan niespłaconych na koniec okresu sprawozdawczego zobowiązań przeznaczonych na cel , o którym mowa w art. 89 ust. 1 pkt 1 ustawy o finansach publicznych</t>
  </si>
  <si>
    <t>spłaty kredytów i  pożyczek, wykup papierów wartościowych 
w tym:</t>
  </si>
  <si>
    <t>FINANSOWANIE DEFICYTU (E1+E2+E3+E4+E5+E6+E7+E8) 
z tego:</t>
  </si>
  <si>
    <t>część rozwojowa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</si>
</sst>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5" formatCode="_-* #,##0.00\ _z_ł_-;\-* #,##0.00\ _z_ł_-;_-* &quot;-&quot;??\ _z_ł_-;_-@_-"/>
    <numFmt numFmtId="166" formatCode="#,##0.0"/>
    <numFmt numFmtId="168" formatCode="dd/mm/yy\ h:mm;@"/>
  </numFmts>
  <fonts count="39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9.5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  <charset val="238"/>
    </font>
    <font>
      <sz val="14"/>
      <name val="Arial"/>
      <family val="2"/>
      <charset val="238"/>
    </font>
    <font>
      <b/>
      <sz val="7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rgb="FF242424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1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2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3" borderId="0" applyNumberFormat="0" applyBorder="0" applyAlignment="0" applyProtection="0"/>
    <xf numFmtId="0" fontId="13" fillId="10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3" borderId="0" applyNumberFormat="0" applyBorder="0" applyAlignment="0" applyProtection="0"/>
    <xf numFmtId="0" fontId="14" fillId="10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14" borderId="0" applyNumberFormat="0" applyBorder="0" applyAlignment="0" applyProtection="0"/>
    <xf numFmtId="0" fontId="14" fillId="13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5" fillId="18" borderId="0" applyNumberFormat="0" applyBorder="0" applyAlignment="0" applyProtection="0"/>
    <xf numFmtId="0" fontId="16" fillId="7" borderId="1" applyNumberFormat="0" applyAlignment="0" applyProtection="0"/>
    <xf numFmtId="0" fontId="17" fillId="17" borderId="2" applyNumberFormat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8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1" applyNumberFormat="0" applyAlignment="0" applyProtection="0"/>
    <xf numFmtId="0" fontId="24" fillId="0" borderId="7" applyNumberFormat="0" applyFill="0" applyAlignment="0" applyProtection="0"/>
    <xf numFmtId="0" fontId="25" fillId="10" borderId="0" applyNumberFormat="0" applyBorder="0" applyAlignment="0" applyProtection="0"/>
    <xf numFmtId="0" fontId="36" fillId="0" borderId="0"/>
    <xf numFmtId="0" fontId="36" fillId="0" borderId="0"/>
    <xf numFmtId="0" fontId="1" fillId="4" borderId="8" applyNumberFormat="0" applyFont="0" applyAlignment="0" applyProtection="0"/>
    <xf numFmtId="0" fontId="26" fillId="7" borderId="3" applyNumberFormat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</cellStyleXfs>
  <cellXfs count="164">
    <xf numFmtId="0" fontId="0" fillId="0" borderId="0" xfId="0"/>
    <xf numFmtId="0" fontId="2" fillId="0" borderId="0" xfId="0" applyFont="1"/>
    <xf numFmtId="0" fontId="6" fillId="0" borderId="0" xfId="0" applyFont="1" applyFill="1" applyAlignment="1">
      <alignment horizontal="left" vertical="center"/>
    </xf>
    <xf numFmtId="166" fontId="2" fillId="0" borderId="0" xfId="0" applyNumberFormat="1" applyFont="1" applyFill="1"/>
    <xf numFmtId="0" fontId="8" fillId="0" borderId="0" xfId="0" applyFont="1" applyFill="1" applyAlignment="1">
      <alignment vertical="center"/>
    </xf>
    <xf numFmtId="0" fontId="2" fillId="0" borderId="0" xfId="0" applyFont="1" applyFill="1"/>
    <xf numFmtId="0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right" vertical="center"/>
    </xf>
    <xf numFmtId="166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4" fillId="19" borderId="10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/>
    </xf>
    <xf numFmtId="0" fontId="7" fillId="20" borderId="10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 indent="1"/>
    </xf>
    <xf numFmtId="166" fontId="6" fillId="0" borderId="0" xfId="0" applyNumberFormat="1" applyFont="1" applyAlignment="1">
      <alignment horizontal="right" vertical="center"/>
    </xf>
    <xf numFmtId="166" fontId="6" fillId="0" borderId="0" xfId="0" applyNumberFormat="1" applyFont="1" applyFill="1" applyAlignment="1">
      <alignment horizontal="right" vertical="center"/>
    </xf>
    <xf numFmtId="0" fontId="4" fillId="0" borderId="10" xfId="0" applyFont="1" applyFill="1" applyBorder="1" applyAlignment="1">
      <alignment horizontal="left" vertical="center" wrapText="1" indent="1"/>
    </xf>
    <xf numFmtId="0" fontId="6" fillId="0" borderId="10" xfId="0" applyFont="1" applyBorder="1"/>
    <xf numFmtId="0" fontId="6" fillId="0" borderId="0" xfId="0" applyFont="1"/>
    <xf numFmtId="0" fontId="6" fillId="19" borderId="10" xfId="0" applyNumberFormat="1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/>
    </xf>
    <xf numFmtId="0" fontId="10" fillId="19" borderId="10" xfId="0" applyFont="1" applyFill="1" applyBorder="1" applyAlignment="1">
      <alignment horizontal="center" vertical="center" wrapText="1"/>
    </xf>
    <xf numFmtId="0" fontId="6" fillId="19" borderId="12" xfId="0" applyFont="1" applyFill="1" applyBorder="1" applyAlignment="1">
      <alignment horizontal="center"/>
    </xf>
    <xf numFmtId="4" fontId="32" fillId="20" borderId="10" xfId="0" applyNumberFormat="1" applyFont="1" applyFill="1" applyBorder="1" applyAlignment="1">
      <alignment horizontal="right" vertical="center"/>
    </xf>
    <xf numFmtId="166" fontId="32" fillId="20" borderId="10" xfId="0" applyNumberFormat="1" applyFont="1" applyFill="1" applyBorder="1" applyAlignment="1">
      <alignment horizontal="right" vertical="center"/>
    </xf>
    <xf numFmtId="4" fontId="33" fillId="0" borderId="10" xfId="0" applyNumberFormat="1" applyFont="1" applyFill="1" applyBorder="1" applyAlignment="1">
      <alignment horizontal="right" vertical="center"/>
    </xf>
    <xf numFmtId="166" fontId="33" fillId="0" borderId="10" xfId="0" applyNumberFormat="1" applyFont="1" applyFill="1" applyBorder="1" applyAlignment="1">
      <alignment horizontal="right" vertical="center"/>
    </xf>
    <xf numFmtId="166" fontId="33" fillId="20" borderId="10" xfId="0" applyNumberFormat="1" applyFont="1" applyFill="1" applyBorder="1" applyAlignment="1">
      <alignment horizontal="right" vertical="center"/>
    </xf>
    <xf numFmtId="4" fontId="33" fillId="0" borderId="10" xfId="0" applyNumberFormat="1" applyFont="1" applyBorder="1" applyAlignment="1">
      <alignment horizontal="right" vertical="center"/>
    </xf>
    <xf numFmtId="166" fontId="34" fillId="0" borderId="0" xfId="0" applyNumberFormat="1" applyFont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4" fontId="32" fillId="20" borderId="10" xfId="0" applyNumberFormat="1" applyFont="1" applyFill="1" applyBorder="1" applyAlignment="1">
      <alignment horizontal="right" vertical="center" wrapText="1"/>
    </xf>
    <xf numFmtId="166" fontId="35" fillId="20" borderId="10" xfId="0" applyNumberFormat="1" applyFont="1" applyFill="1" applyBorder="1" applyAlignment="1">
      <alignment horizontal="right" vertical="center"/>
    </xf>
    <xf numFmtId="0" fontId="34" fillId="0" borderId="0" xfId="0" applyFont="1"/>
    <xf numFmtId="0" fontId="34" fillId="0" borderId="0" xfId="0" applyFont="1" applyBorder="1"/>
    <xf numFmtId="3" fontId="32" fillId="0" borderId="0" xfId="0" applyNumberFormat="1" applyFont="1" applyBorder="1" applyAlignment="1">
      <alignment horizontal="right" vertical="center"/>
    </xf>
    <xf numFmtId="166" fontId="34" fillId="0" borderId="0" xfId="0" applyNumberFormat="1" applyFont="1"/>
    <xf numFmtId="4" fontId="35" fillId="20" borderId="12" xfId="0" applyNumberFormat="1" applyFont="1" applyFill="1" applyBorder="1" applyAlignment="1">
      <alignment horizontal="right" vertical="center"/>
    </xf>
    <xf numFmtId="166" fontId="35" fillId="20" borderId="10" xfId="28" applyNumberFormat="1" applyFont="1" applyFill="1" applyBorder="1" applyAlignment="1">
      <alignment horizontal="right" vertical="center"/>
    </xf>
    <xf numFmtId="4" fontId="34" fillId="0" borderId="12" xfId="0" applyNumberFormat="1" applyFont="1" applyBorder="1" applyAlignment="1">
      <alignment horizontal="right" vertical="center"/>
    </xf>
    <xf numFmtId="166" fontId="35" fillId="21" borderId="10" xfId="28" applyNumberFormat="1" applyFont="1" applyFill="1" applyBorder="1" applyAlignment="1">
      <alignment horizontal="right" vertical="center"/>
    </xf>
    <xf numFmtId="166" fontId="35" fillId="21" borderId="10" xfId="0" applyNumberFormat="1" applyFont="1" applyFill="1" applyBorder="1" applyAlignment="1">
      <alignment horizontal="right" vertical="center"/>
    </xf>
    <xf numFmtId="4" fontId="34" fillId="22" borderId="12" xfId="0" applyNumberFormat="1" applyFont="1" applyFill="1" applyBorder="1" applyAlignment="1">
      <alignment horizontal="right" vertical="center"/>
    </xf>
    <xf numFmtId="166" fontId="35" fillId="22" borderId="10" xfId="0" applyNumberFormat="1" applyFont="1" applyFill="1" applyBorder="1" applyAlignment="1">
      <alignment horizontal="right" vertical="center"/>
    </xf>
    <xf numFmtId="4" fontId="35" fillId="22" borderId="12" xfId="0" applyNumberFormat="1" applyFont="1" applyFill="1" applyBorder="1" applyAlignment="1">
      <alignment horizontal="right" vertical="center"/>
    </xf>
    <xf numFmtId="0" fontId="11" fillId="19" borderId="10" xfId="0" applyFont="1" applyFill="1" applyBorder="1" applyAlignment="1">
      <alignment horizontal="center" vertical="center" wrapText="1"/>
    </xf>
    <xf numFmtId="0" fontId="37" fillId="22" borderId="10" xfId="44" applyFont="1" applyFill="1" applyBorder="1" applyAlignment="1">
      <alignment horizontal="left" vertical="top" wrapText="1"/>
    </xf>
    <xf numFmtId="4" fontId="32" fillId="22" borderId="10" xfId="0" applyNumberFormat="1" applyFont="1" applyFill="1" applyBorder="1" applyAlignment="1">
      <alignment horizontal="right" vertical="center"/>
    </xf>
    <xf numFmtId="166" fontId="32" fillId="22" borderId="10" xfId="0" applyNumberFormat="1" applyFont="1" applyFill="1" applyBorder="1" applyAlignment="1">
      <alignment horizontal="right" vertical="center"/>
    </xf>
    <xf numFmtId="4" fontId="34" fillId="0" borderId="10" xfId="0" applyNumberFormat="1" applyFont="1" applyFill="1" applyBorder="1" applyAlignment="1">
      <alignment horizontal="right" vertical="center"/>
    </xf>
    <xf numFmtId="166" fontId="33" fillId="0" borderId="0" xfId="0" applyNumberFormat="1" applyFont="1" applyFill="1" applyBorder="1" applyAlignment="1">
      <alignment horizontal="right" vertical="center"/>
    </xf>
    <xf numFmtId="4" fontId="33" fillId="22" borderId="10" xfId="0" applyNumberFormat="1" applyFont="1" applyFill="1" applyBorder="1" applyAlignment="1">
      <alignment horizontal="right" vertical="center"/>
    </xf>
    <xf numFmtId="166" fontId="33" fillId="22" borderId="10" xfId="0" applyNumberFormat="1" applyFont="1" applyFill="1" applyBorder="1" applyAlignment="1">
      <alignment horizontal="right" vertical="center"/>
    </xf>
    <xf numFmtId="4" fontId="35" fillId="22" borderId="10" xfId="0" applyNumberFormat="1" applyFont="1" applyFill="1" applyBorder="1" applyAlignment="1">
      <alignment horizontal="right" vertical="center"/>
    </xf>
    <xf numFmtId="4" fontId="33" fillId="0" borderId="10" xfId="0" applyNumberFormat="1" applyFont="1" applyFill="1" applyBorder="1" applyAlignment="1">
      <alignment horizontal="right" vertical="center" wrapText="1"/>
    </xf>
    <xf numFmtId="4" fontId="33" fillId="22" borderId="10" xfId="0" applyNumberFormat="1" applyFont="1" applyFill="1" applyBorder="1" applyAlignment="1">
      <alignment horizontal="right" vertical="center" wrapText="1"/>
    </xf>
    <xf numFmtId="166" fontId="34" fillId="22" borderId="10" xfId="0" applyNumberFormat="1" applyFont="1" applyFill="1" applyBorder="1" applyAlignment="1">
      <alignment horizontal="right" vertical="center"/>
    </xf>
    <xf numFmtId="4" fontId="32" fillId="22" borderId="10" xfId="0" applyNumberFormat="1" applyFont="1" applyFill="1" applyBorder="1" applyAlignment="1">
      <alignment horizontal="right" vertical="center" wrapText="1"/>
    </xf>
    <xf numFmtId="4" fontId="32" fillId="20" borderId="11" xfId="0" applyNumberFormat="1" applyFont="1" applyFill="1" applyBorder="1" applyAlignment="1">
      <alignment horizontal="right" vertical="center" wrapText="1"/>
    </xf>
    <xf numFmtId="4" fontId="34" fillId="0" borderId="12" xfId="0" applyNumberFormat="1" applyFont="1" applyFill="1" applyBorder="1" applyAlignment="1">
      <alignment horizontal="right" vertical="center"/>
    </xf>
    <xf numFmtId="166" fontId="35" fillId="0" borderId="10" xfId="28" applyNumberFormat="1" applyFont="1" applyFill="1" applyBorder="1" applyAlignment="1">
      <alignment horizontal="right" vertical="center"/>
    </xf>
    <xf numFmtId="166" fontId="35" fillId="0" borderId="10" xfId="0" applyNumberFormat="1" applyFont="1" applyFill="1" applyBorder="1" applyAlignment="1">
      <alignment horizontal="right" vertical="center"/>
    </xf>
    <xf numFmtId="4" fontId="33" fillId="21" borderId="10" xfId="0" applyNumberFormat="1" applyFont="1" applyFill="1" applyBorder="1" applyAlignment="1">
      <alignment horizontal="right" vertical="center"/>
    </xf>
    <xf numFmtId="166" fontId="33" fillId="21" borderId="10" xfId="0" applyNumberFormat="1" applyFont="1" applyFill="1" applyBorder="1" applyAlignment="1">
      <alignment horizontal="right" vertical="center"/>
    </xf>
    <xf numFmtId="0" fontId="6" fillId="19" borderId="12" xfId="0" applyFont="1" applyFill="1" applyBorder="1" applyAlignment="1">
      <alignment horizontal="center" vertical="center"/>
    </xf>
    <xf numFmtId="4" fontId="35" fillId="22" borderId="1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4" fontId="33" fillId="0" borderId="0" xfId="0" applyNumberFormat="1" applyFont="1" applyFill="1" applyBorder="1" applyAlignment="1">
      <alignment horizontal="right" vertical="center" wrapText="1"/>
    </xf>
    <xf numFmtId="4" fontId="33" fillId="0" borderId="0" xfId="0" applyNumberFormat="1" applyFont="1" applyFill="1" applyBorder="1" applyAlignment="1">
      <alignment horizontal="right" vertical="center"/>
    </xf>
    <xf numFmtId="4" fontId="35" fillId="0" borderId="0" xfId="0" applyNumberFormat="1" applyFont="1" applyFill="1" applyBorder="1" applyAlignment="1">
      <alignment horizontal="right" vertical="center"/>
    </xf>
    <xf numFmtId="4" fontId="32" fillId="0" borderId="0" xfId="0" applyNumberFormat="1" applyFont="1" applyFill="1" applyBorder="1" applyAlignment="1">
      <alignment horizontal="right" vertical="center" wrapText="1"/>
    </xf>
    <xf numFmtId="0" fontId="6" fillId="19" borderId="10" xfId="0" applyFont="1" applyFill="1" applyBorder="1" applyAlignment="1">
      <alignment vertical="center"/>
    </xf>
    <xf numFmtId="4" fontId="35" fillId="22" borderId="10" xfId="0" applyNumberFormat="1" applyFont="1" applyFill="1" applyBorder="1" applyAlignment="1">
      <alignment vertical="center"/>
    </xf>
    <xf numFmtId="4" fontId="32" fillId="22" borderId="10" xfId="0" applyNumberFormat="1" applyFont="1" applyFill="1" applyBorder="1" applyAlignment="1">
      <alignment vertical="center" wrapText="1"/>
    </xf>
    <xf numFmtId="4" fontId="33" fillId="0" borderId="10" xfId="0" applyNumberFormat="1" applyFont="1" applyBorder="1" applyAlignment="1">
      <alignment vertical="center"/>
    </xf>
    <xf numFmtId="4" fontId="33" fillId="0" borderId="10" xfId="0" applyNumberFormat="1" applyFont="1" applyFill="1" applyBorder="1" applyAlignment="1">
      <alignment vertical="center" wrapText="1"/>
    </xf>
    <xf numFmtId="4" fontId="33" fillId="0" borderId="10" xfId="0" applyNumberFormat="1" applyFont="1" applyFill="1" applyBorder="1" applyAlignment="1">
      <alignment vertical="center"/>
    </xf>
    <xf numFmtId="4" fontId="33" fillId="0" borderId="12" xfId="0" applyNumberFormat="1" applyFont="1" applyFill="1" applyBorder="1" applyAlignment="1">
      <alignment vertical="center" wrapText="1"/>
    </xf>
    <xf numFmtId="4" fontId="33" fillId="0" borderId="13" xfId="0" applyNumberFormat="1" applyFont="1" applyBorder="1" applyAlignment="1">
      <alignment horizontal="right" vertical="center"/>
    </xf>
    <xf numFmtId="4" fontId="33" fillId="0" borderId="14" xfId="0" applyNumberFormat="1" applyFont="1" applyBorder="1" applyAlignment="1">
      <alignment vertical="center" wrapText="1"/>
    </xf>
    <xf numFmtId="4" fontId="34" fillId="0" borderId="0" xfId="0" applyNumberFormat="1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left" vertical="center"/>
    </xf>
    <xf numFmtId="0" fontId="34" fillId="0" borderId="0" xfId="0" applyFont="1" applyFill="1" applyBorder="1"/>
    <xf numFmtId="4" fontId="32" fillId="0" borderId="15" xfId="0" applyNumberFormat="1" applyFont="1" applyFill="1" applyBorder="1" applyAlignment="1">
      <alignment horizontal="right" vertical="center" wrapText="1"/>
    </xf>
    <xf numFmtId="4" fontId="32" fillId="0" borderId="14" xfId="0" applyNumberFormat="1" applyFont="1" applyFill="1" applyBorder="1" applyAlignment="1">
      <alignment horizontal="right" vertical="center" wrapText="1"/>
    </xf>
    <xf numFmtId="4" fontId="32" fillId="0" borderId="16" xfId="0" applyNumberFormat="1" applyFont="1" applyFill="1" applyBorder="1" applyAlignment="1">
      <alignment horizontal="right" vertical="center" wrapText="1"/>
    </xf>
    <xf numFmtId="4" fontId="34" fillId="0" borderId="16" xfId="0" applyNumberFormat="1" applyFont="1" applyFill="1" applyBorder="1" applyAlignment="1">
      <alignment horizontal="right" vertical="center"/>
    </xf>
    <xf numFmtId="0" fontId="6" fillId="19" borderId="12" xfId="0" applyFont="1" applyFill="1" applyBorder="1" applyAlignment="1">
      <alignment vertical="center"/>
    </xf>
    <xf numFmtId="4" fontId="34" fillId="22" borderId="10" xfId="0" applyNumberFormat="1" applyFont="1" applyFill="1" applyBorder="1" applyAlignment="1">
      <alignment horizontal="right" vertical="center"/>
    </xf>
    <xf numFmtId="4" fontId="32" fillId="22" borderId="10" xfId="0" applyNumberFormat="1" applyFont="1" applyFill="1" applyBorder="1" applyAlignment="1">
      <alignment horizontal="center" vertical="center"/>
    </xf>
    <xf numFmtId="4" fontId="34" fillId="0" borderId="10" xfId="0" applyNumberFormat="1" applyFont="1" applyBorder="1" applyAlignment="1">
      <alignment horizontal="right" vertical="center"/>
    </xf>
    <xf numFmtId="4" fontId="34" fillId="21" borderId="10" xfId="0" applyNumberFormat="1" applyFont="1" applyFill="1" applyBorder="1" applyAlignment="1">
      <alignment horizontal="right" vertical="center"/>
    </xf>
    <xf numFmtId="0" fontId="6" fillId="0" borderId="13" xfId="0" applyFont="1" applyBorder="1"/>
    <xf numFmtId="168" fontId="6" fillId="0" borderId="11" xfId="0" applyNumberFormat="1" applyFont="1" applyBorder="1"/>
    <xf numFmtId="4" fontId="35" fillId="20" borderId="10" xfId="0" applyNumberFormat="1" applyFont="1" applyFill="1" applyBorder="1" applyAlignment="1">
      <alignment horizontal="center" vertical="center"/>
    </xf>
    <xf numFmtId="0" fontId="7" fillId="22" borderId="10" xfId="0" applyFont="1" applyFill="1" applyBorder="1" applyAlignment="1">
      <alignment horizontal="left" vertical="center" wrapText="1"/>
    </xf>
    <xf numFmtId="0" fontId="10" fillId="22" borderId="11" xfId="0" applyFont="1" applyFill="1" applyBorder="1" applyAlignment="1">
      <alignment horizontal="center" vertical="top" wrapText="1"/>
    </xf>
    <xf numFmtId="0" fontId="10" fillId="20" borderId="10" xfId="0" applyFont="1" applyFill="1" applyBorder="1" applyAlignment="1">
      <alignment horizontal="left" vertical="top" wrapText="1"/>
    </xf>
    <xf numFmtId="0" fontId="7" fillId="22" borderId="10" xfId="0" applyFont="1" applyFill="1" applyBorder="1" applyAlignment="1">
      <alignment vertical="center" wrapText="1"/>
    </xf>
    <xf numFmtId="0" fontId="7" fillId="20" borderId="10" xfId="0" applyFont="1" applyFill="1" applyBorder="1" applyAlignment="1">
      <alignment horizontal="left" vertical="center" wrapText="1" indent="1"/>
    </xf>
    <xf numFmtId="0" fontId="7" fillId="22" borderId="10" xfId="0" applyFont="1" applyFill="1" applyBorder="1" applyAlignment="1">
      <alignment horizontal="left" vertical="center" wrapText="1" indent="1"/>
    </xf>
    <xf numFmtId="0" fontId="4" fillId="0" borderId="10" xfId="0" applyFont="1" applyFill="1" applyBorder="1" applyAlignment="1">
      <alignment horizontal="left" vertical="center" wrapText="1" indent="2"/>
    </xf>
    <xf numFmtId="0" fontId="7" fillId="22" borderId="10" xfId="0" applyFont="1" applyFill="1" applyBorder="1" applyAlignment="1">
      <alignment horizontal="left" vertical="center" wrapText="1" indent="2"/>
    </xf>
    <xf numFmtId="0" fontId="4" fillId="0" borderId="10" xfId="0" applyFont="1" applyFill="1" applyBorder="1" applyAlignment="1">
      <alignment horizontal="left" vertical="center" wrapText="1" indent="3"/>
    </xf>
    <xf numFmtId="0" fontId="4" fillId="21" borderId="10" xfId="0" applyFont="1" applyFill="1" applyBorder="1" applyAlignment="1">
      <alignment horizontal="left" vertical="center" wrapText="1" indent="3"/>
    </xf>
    <xf numFmtId="0" fontId="7" fillId="22" borderId="10" xfId="0" applyFont="1" applyFill="1" applyBorder="1" applyAlignment="1">
      <alignment horizontal="left" vertical="center" wrapText="1" indent="3"/>
    </xf>
    <xf numFmtId="0" fontId="4" fillId="0" borderId="10" xfId="0" applyFont="1" applyFill="1" applyBorder="1" applyAlignment="1">
      <alignment horizontal="left" vertical="center" wrapText="1" indent="4"/>
    </xf>
    <xf numFmtId="0" fontId="4" fillId="0" borderId="10" xfId="0" applyFont="1" applyBorder="1" applyAlignment="1">
      <alignment horizontal="left" vertical="center" wrapText="1" indent="4"/>
    </xf>
    <xf numFmtId="0" fontId="7" fillId="0" borderId="10" xfId="0" applyFont="1" applyFill="1" applyBorder="1" applyAlignment="1">
      <alignment horizontal="right" vertical="center" wrapText="1"/>
    </xf>
    <xf numFmtId="0" fontId="31" fillId="0" borderId="0" xfId="0" applyFont="1" applyAlignment="1">
      <alignment vertical="center"/>
    </xf>
    <xf numFmtId="0" fontId="6" fillId="0" borderId="10" xfId="0" applyFont="1" applyFill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 indent="1"/>
    </xf>
    <xf numFmtId="0" fontId="6" fillId="0" borderId="10" xfId="0" applyFont="1" applyFill="1" applyBorder="1" applyAlignment="1">
      <alignment horizontal="left" vertical="center" wrapText="1" indent="2"/>
    </xf>
    <xf numFmtId="0" fontId="6" fillId="0" borderId="10" xfId="44" applyFont="1" applyFill="1" applyBorder="1" applyAlignment="1">
      <alignment horizontal="left" vertical="center" wrapText="1" indent="1"/>
    </xf>
    <xf numFmtId="4" fontId="33" fillId="22" borderId="17" xfId="0" applyNumberFormat="1" applyFont="1" applyFill="1" applyBorder="1" applyAlignment="1">
      <alignment horizontal="right" vertical="center" wrapText="1"/>
    </xf>
    <xf numFmtId="4" fontId="33" fillId="0" borderId="17" xfId="0" applyNumberFormat="1" applyFont="1" applyFill="1" applyBorder="1" applyAlignment="1">
      <alignment horizontal="right" vertical="center" wrapText="1"/>
    </xf>
    <xf numFmtId="0" fontId="7" fillId="22" borderId="10" xfId="0" applyFont="1" applyFill="1" applyBorder="1" applyAlignment="1">
      <alignment horizontal="left" vertical="top" wrapText="1"/>
    </xf>
    <xf numFmtId="0" fontId="10" fillId="0" borderId="10" xfId="0" applyFont="1" applyFill="1" applyBorder="1" applyAlignment="1">
      <alignment horizontal="right"/>
    </xf>
    <xf numFmtId="0" fontId="10" fillId="0" borderId="0" xfId="44" applyFont="1" applyFill="1" applyBorder="1" applyAlignment="1">
      <alignment horizontal="left" vertical="center"/>
    </xf>
    <xf numFmtId="4" fontId="32" fillId="22" borderId="0" xfId="0" applyNumberFormat="1" applyFont="1" applyFill="1" applyBorder="1" applyAlignment="1">
      <alignment horizontal="center" vertical="center"/>
    </xf>
    <xf numFmtId="0" fontId="38" fillId="0" borderId="0" xfId="0" applyFont="1"/>
    <xf numFmtId="0" fontId="37" fillId="0" borderId="10" xfId="45" applyFont="1" applyBorder="1" applyAlignment="1">
      <alignment horizontal="left" vertical="center" wrapText="1" indent="1"/>
    </xf>
    <xf numFmtId="0" fontId="6" fillId="19" borderId="12" xfId="0" applyFont="1" applyFill="1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/>
    </xf>
    <xf numFmtId="0" fontId="6" fillId="19" borderId="12" xfId="0" applyFont="1" applyFill="1" applyBorder="1" applyAlignment="1">
      <alignment horizontal="center" vertical="center" wrapText="1"/>
    </xf>
    <xf numFmtId="4" fontId="32" fillId="0" borderId="16" xfId="0" applyNumberFormat="1" applyFont="1" applyFill="1" applyBorder="1" applyAlignment="1">
      <alignment horizontal="right" vertical="center" wrapText="1"/>
    </xf>
    <xf numFmtId="0" fontId="4" fillId="19" borderId="10" xfId="0" applyFont="1" applyFill="1" applyBorder="1" applyAlignment="1">
      <alignment horizontal="center" vertical="center" wrapText="1"/>
    </xf>
    <xf numFmtId="168" fontId="6" fillId="0" borderId="12" xfId="0" applyNumberFormat="1" applyFont="1" applyBorder="1" applyAlignment="1">
      <alignment horizontal="center"/>
    </xf>
    <xf numFmtId="168" fontId="6" fillId="0" borderId="17" xfId="0" applyNumberFormat="1" applyFont="1" applyBorder="1" applyAlignment="1">
      <alignment horizontal="center"/>
    </xf>
    <xf numFmtId="0" fontId="6" fillId="19" borderId="14" xfId="0" applyFont="1" applyFill="1" applyBorder="1" applyAlignment="1">
      <alignment horizontal="center" vertical="center"/>
    </xf>
    <xf numFmtId="0" fontId="6" fillId="19" borderId="16" xfId="0" applyFont="1" applyFill="1" applyBorder="1" applyAlignment="1">
      <alignment horizontal="center" vertical="center"/>
    </xf>
    <xf numFmtId="0" fontId="6" fillId="19" borderId="20" xfId="0" applyFont="1" applyFill="1" applyBorder="1" applyAlignment="1">
      <alignment horizontal="center" vertical="center"/>
    </xf>
    <xf numFmtId="0" fontId="6" fillId="19" borderId="15" xfId="0" applyFont="1" applyFill="1" applyBorder="1" applyAlignment="1">
      <alignment horizontal="center" vertical="center"/>
    </xf>
    <xf numFmtId="0" fontId="6" fillId="19" borderId="0" xfId="0" applyFont="1" applyFill="1" applyBorder="1" applyAlignment="1">
      <alignment horizontal="center" vertical="center"/>
    </xf>
    <xf numFmtId="0" fontId="6" fillId="19" borderId="24" xfId="0" applyFont="1" applyFill="1" applyBorder="1" applyAlignment="1">
      <alignment horizontal="center" vertical="center"/>
    </xf>
    <xf numFmtId="0" fontId="6" fillId="19" borderId="21" xfId="0" applyFont="1" applyFill="1" applyBorder="1" applyAlignment="1">
      <alignment horizontal="center" vertical="center"/>
    </xf>
    <xf numFmtId="0" fontId="6" fillId="19" borderId="22" xfId="0" applyFont="1" applyFill="1" applyBorder="1" applyAlignment="1">
      <alignment horizontal="center" vertical="center"/>
    </xf>
    <xf numFmtId="0" fontId="6" fillId="19" borderId="23" xfId="0" applyFont="1" applyFill="1" applyBorder="1" applyAlignment="1">
      <alignment horizontal="center" vertical="center"/>
    </xf>
    <xf numFmtId="0" fontId="6" fillId="19" borderId="17" xfId="0" applyFont="1" applyFill="1" applyBorder="1" applyAlignment="1">
      <alignment horizontal="center" vertical="center"/>
    </xf>
    <xf numFmtId="0" fontId="6" fillId="19" borderId="17" xfId="0" applyFont="1" applyFill="1" applyBorder="1" applyAlignment="1">
      <alignment horizontal="center" vertical="center" wrapText="1"/>
    </xf>
    <xf numFmtId="0" fontId="7" fillId="19" borderId="10" xfId="0" applyFont="1" applyFill="1" applyBorder="1" applyAlignment="1">
      <alignment horizontal="center" vertical="center"/>
    </xf>
    <xf numFmtId="0" fontId="6" fillId="19" borderId="13" xfId="0" applyFont="1" applyFill="1" applyBorder="1" applyAlignment="1">
      <alignment horizontal="center" vertical="center" wrapText="1"/>
    </xf>
    <xf numFmtId="0" fontId="6" fillId="19" borderId="18" xfId="0" applyFont="1" applyFill="1" applyBorder="1" applyAlignment="1">
      <alignment horizontal="center" vertical="center" wrapText="1"/>
    </xf>
    <xf numFmtId="0" fontId="6" fillId="19" borderId="11" xfId="0" applyFont="1" applyFill="1" applyBorder="1" applyAlignment="1">
      <alignment horizontal="center" vertical="center" wrapText="1"/>
    </xf>
    <xf numFmtId="0" fontId="4" fillId="19" borderId="12" xfId="0" applyFont="1" applyFill="1" applyBorder="1" applyAlignment="1">
      <alignment horizontal="center" vertical="center"/>
    </xf>
    <xf numFmtId="0" fontId="4" fillId="19" borderId="19" xfId="0" applyFont="1" applyFill="1" applyBorder="1" applyAlignment="1">
      <alignment horizontal="center" vertical="center"/>
    </xf>
    <xf numFmtId="0" fontId="4" fillId="19" borderId="17" xfId="0" applyFont="1" applyFill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/>
    </xf>
    <xf numFmtId="0" fontId="4" fillId="19" borderId="14" xfId="0" applyFont="1" applyFill="1" applyBorder="1" applyAlignment="1">
      <alignment horizontal="center" vertical="center"/>
    </xf>
    <xf numFmtId="0" fontId="4" fillId="19" borderId="16" xfId="0" applyFont="1" applyFill="1" applyBorder="1" applyAlignment="1">
      <alignment horizontal="center" vertical="center"/>
    </xf>
    <xf numFmtId="0" fontId="4" fillId="19" borderId="20" xfId="0" applyFont="1" applyFill="1" applyBorder="1" applyAlignment="1">
      <alignment horizontal="center" vertical="center"/>
    </xf>
    <xf numFmtId="0" fontId="4" fillId="19" borderId="21" xfId="0" applyFont="1" applyFill="1" applyBorder="1" applyAlignment="1">
      <alignment horizontal="center" vertical="center"/>
    </xf>
    <xf numFmtId="0" fontId="4" fillId="19" borderId="22" xfId="0" applyFont="1" applyFill="1" applyBorder="1" applyAlignment="1">
      <alignment horizontal="center" vertical="center"/>
    </xf>
    <xf numFmtId="0" fontId="4" fillId="19" borderId="23" xfId="0" applyFont="1" applyFill="1" applyBorder="1" applyAlignment="1">
      <alignment horizontal="center" vertical="center"/>
    </xf>
  </cellXfs>
  <cellStyles count="5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Dziesiętny 2" xfId="28"/>
    <cellStyle name="Dziesiętny 3" xfId="29"/>
    <cellStyle name="Dziesiętny 3 2" xfId="30"/>
    <cellStyle name="Dziesiętny 3 3" xfId="31"/>
    <cellStyle name="Dziesiętny 3 4" xfId="32"/>
    <cellStyle name="Dziesiętny 4" xfId="33"/>
    <cellStyle name="Dziesiętny 5" xfId="34"/>
    <cellStyle name="Explanatory Text" xfId="35"/>
    <cellStyle name="Good" xfId="36"/>
    <cellStyle name="Heading 1" xfId="37"/>
    <cellStyle name="Heading 2" xfId="38"/>
    <cellStyle name="Heading 3" xfId="39"/>
    <cellStyle name="Heading 4" xfId="40"/>
    <cellStyle name="Input" xfId="41"/>
    <cellStyle name="Linked Cell" xfId="42"/>
    <cellStyle name="Neutral" xfId="43"/>
    <cellStyle name="Normalny" xfId="0" builtinId="0"/>
    <cellStyle name="Normalny 2" xfId="44"/>
    <cellStyle name="Normalny 2 2" xfId="45"/>
    <cellStyle name="Note" xfId="46"/>
    <cellStyle name="Output" xfId="47"/>
    <cellStyle name="Title" xfId="48"/>
    <cellStyle name="Total" xfId="49"/>
    <cellStyle name="Warning Text" xfId="5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outlinePr summaryBelow="0"/>
  </sheetPr>
  <dimension ref="A1:Z107"/>
  <sheetViews>
    <sheetView tabSelected="1" topLeftCell="B1" zoomScaleNormal="100" workbookViewId="0"/>
  </sheetViews>
  <sheetFormatPr defaultRowHeight="12.75" outlineLevelRow="1" outlineLevelCol="1" x14ac:dyDescent="0.2"/>
  <cols>
    <col min="1" max="1" width="5.7109375" style="1" hidden="1" customWidth="1"/>
    <col min="2" max="2" width="30.7109375" style="1" customWidth="1"/>
    <col min="3" max="4" width="14.7109375" style="1" customWidth="1"/>
    <col min="5" max="9" width="14.7109375" style="1" customWidth="1" outlineLevel="1"/>
    <col min="10" max="10" width="9.7109375" style="1" customWidth="1"/>
    <col min="11" max="11" width="7.42578125" style="1" customWidth="1"/>
    <col min="12" max="12" width="9.140625" style="1" customWidth="1"/>
    <col min="13" max="13" width="8.140625" style="1" hidden="1" customWidth="1"/>
    <col min="14" max="16384" width="9.140625" style="1"/>
  </cols>
  <sheetData>
    <row r="1" spans="2:13" ht="20.100000000000001" customHeight="1" x14ac:dyDescent="0.2">
      <c r="B1" s="117" t="str">
        <f>CONCATENATE("Informacja z wykonania budżetów powiatów za ",$D$104," ",$C$105," rok     ",$C$107,"")</f>
        <v xml:space="preserve">Informacja z wykonania budżetów powiatów za II Kwartały 2024 rok     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</row>
    <row r="2" spans="2:13" ht="57.75" customHeight="1" x14ac:dyDescent="0.2">
      <c r="B2" s="150" t="s">
        <v>0</v>
      </c>
      <c r="C2" s="14" t="s">
        <v>26</v>
      </c>
      <c r="D2" s="14" t="s">
        <v>27</v>
      </c>
      <c r="E2" s="14" t="s">
        <v>86</v>
      </c>
      <c r="F2" s="14" t="s">
        <v>87</v>
      </c>
      <c r="G2" s="14" t="s">
        <v>88</v>
      </c>
      <c r="H2" s="14" t="s">
        <v>89</v>
      </c>
      <c r="I2" s="14" t="s">
        <v>90</v>
      </c>
      <c r="J2" s="16" t="s">
        <v>2</v>
      </c>
      <c r="K2" s="14" t="s">
        <v>18</v>
      </c>
      <c r="L2" s="14" t="s">
        <v>3</v>
      </c>
    </row>
    <row r="3" spans="2:13" x14ac:dyDescent="0.2">
      <c r="B3" s="150"/>
      <c r="C3" s="154" t="s">
        <v>59</v>
      </c>
      <c r="D3" s="156"/>
      <c r="E3" s="158" t="s">
        <v>85</v>
      </c>
      <c r="F3" s="159"/>
      <c r="G3" s="159"/>
      <c r="H3" s="159"/>
      <c r="I3" s="160"/>
      <c r="J3" s="154" t="s">
        <v>4</v>
      </c>
      <c r="K3" s="155"/>
      <c r="L3" s="156"/>
    </row>
    <row r="4" spans="2:13" ht="9" customHeight="1" x14ac:dyDescent="0.2">
      <c r="B4" s="16">
        <v>1</v>
      </c>
      <c r="C4" s="18">
        <v>2</v>
      </c>
      <c r="D4" s="18">
        <v>3</v>
      </c>
      <c r="E4" s="161"/>
      <c r="F4" s="162"/>
      <c r="G4" s="162"/>
      <c r="H4" s="162"/>
      <c r="I4" s="163"/>
      <c r="J4" s="18">
        <v>4</v>
      </c>
      <c r="K4" s="18">
        <v>5</v>
      </c>
      <c r="L4" s="18">
        <v>6</v>
      </c>
    </row>
    <row r="5" spans="2:13" ht="12.95" customHeight="1" x14ac:dyDescent="0.2">
      <c r="B5" s="106" t="s">
        <v>5</v>
      </c>
      <c r="C5" s="54">
        <f>55177938588.39</f>
        <v>55177938588.389999</v>
      </c>
      <c r="D5" s="54">
        <f>27222243484.59</f>
        <v>27222243484.59</v>
      </c>
      <c r="E5" s="97" t="s">
        <v>85</v>
      </c>
      <c r="F5" s="97" t="s">
        <v>85</v>
      </c>
      <c r="G5" s="97" t="s">
        <v>85</v>
      </c>
      <c r="H5" s="97" t="s">
        <v>85</v>
      </c>
      <c r="I5" s="97" t="s">
        <v>85</v>
      </c>
      <c r="J5" s="55">
        <f t="shared" ref="J5:J40" si="0">IF($D$5=0,"",100*$D5/$D$5)</f>
        <v>100</v>
      </c>
      <c r="K5" s="55">
        <f t="shared" ref="K5:K43" si="1">IF(C5=0,"",100*D5/C5)</f>
        <v>49.335376023485296</v>
      </c>
      <c r="L5" s="55"/>
    </row>
    <row r="6" spans="2:13" ht="26.85" customHeight="1" x14ac:dyDescent="0.2">
      <c r="B6" s="107" t="s">
        <v>41</v>
      </c>
      <c r="C6" s="30">
        <f>C5-C11-C35</f>
        <v>17705877168.66</v>
      </c>
      <c r="D6" s="30">
        <f>D5-D11-D35</f>
        <v>8561788872.4499969</v>
      </c>
      <c r="E6" s="97" t="s">
        <v>85</v>
      </c>
      <c r="F6" s="97" t="s">
        <v>85</v>
      </c>
      <c r="G6" s="97" t="s">
        <v>85</v>
      </c>
      <c r="H6" s="97" t="s">
        <v>85</v>
      </c>
      <c r="I6" s="97" t="s">
        <v>85</v>
      </c>
      <c r="J6" s="31">
        <f t="shared" si="0"/>
        <v>31.45144476169521</v>
      </c>
      <c r="K6" s="31">
        <f t="shared" si="1"/>
        <v>48.355632375020953</v>
      </c>
      <c r="L6" s="31">
        <f>IF($D$6=0,"",100*$D6/$D$6)</f>
        <v>100.00000000000001</v>
      </c>
    </row>
    <row r="7" spans="2:13" ht="22.5" outlineLevel="1" x14ac:dyDescent="0.2">
      <c r="B7" s="109" t="s">
        <v>25</v>
      </c>
      <c r="C7" s="32">
        <f>596124597</f>
        <v>596124597</v>
      </c>
      <c r="D7" s="32">
        <f>298541618</f>
        <v>298541618</v>
      </c>
      <c r="E7" s="97" t="s">
        <v>85</v>
      </c>
      <c r="F7" s="97" t="s">
        <v>85</v>
      </c>
      <c r="G7" s="97" t="s">
        <v>85</v>
      </c>
      <c r="H7" s="97" t="s">
        <v>85</v>
      </c>
      <c r="I7" s="97" t="s">
        <v>85</v>
      </c>
      <c r="J7" s="33">
        <f t="shared" si="0"/>
        <v>1.0966826381117294</v>
      </c>
      <c r="K7" s="33">
        <f t="shared" si="1"/>
        <v>50.080405925608872</v>
      </c>
      <c r="L7" s="33">
        <f>IF($D$6=0,"",100*$D7/$D$6)</f>
        <v>3.4869070289813267</v>
      </c>
    </row>
    <row r="8" spans="2:13" ht="22.5" outlineLevel="1" x14ac:dyDescent="0.2">
      <c r="B8" s="109" t="s">
        <v>19</v>
      </c>
      <c r="C8" s="32">
        <f>8007167665</f>
        <v>8007167665</v>
      </c>
      <c r="D8" s="32">
        <f>4005583818</f>
        <v>4005583818</v>
      </c>
      <c r="E8" s="97" t="s">
        <v>85</v>
      </c>
      <c r="F8" s="97" t="s">
        <v>85</v>
      </c>
      <c r="G8" s="97" t="s">
        <v>85</v>
      </c>
      <c r="H8" s="97" t="s">
        <v>85</v>
      </c>
      <c r="I8" s="97" t="s">
        <v>85</v>
      </c>
      <c r="J8" s="33">
        <f t="shared" si="0"/>
        <v>14.714378042601396</v>
      </c>
      <c r="K8" s="33">
        <f t="shared" si="1"/>
        <v>50.024977440009678</v>
      </c>
      <c r="L8" s="33">
        <f>IF($D$6=0,"",100*$D8/$D$6)</f>
        <v>46.784426451919536</v>
      </c>
    </row>
    <row r="9" spans="2:13" ht="12.95" customHeight="1" outlineLevel="1" x14ac:dyDescent="0.2">
      <c r="B9" s="109" t="s">
        <v>20</v>
      </c>
      <c r="C9" s="32">
        <f>543167329.68</f>
        <v>543167329.67999995</v>
      </c>
      <c r="D9" s="56">
        <f>171457460.6</f>
        <v>171457460.59999999</v>
      </c>
      <c r="E9" s="97" t="s">
        <v>85</v>
      </c>
      <c r="F9" s="97" t="s">
        <v>85</v>
      </c>
      <c r="G9" s="97" t="s">
        <v>85</v>
      </c>
      <c r="H9" s="97" t="s">
        <v>85</v>
      </c>
      <c r="I9" s="97" t="s">
        <v>85</v>
      </c>
      <c r="J9" s="33">
        <f t="shared" si="0"/>
        <v>0.62984324086682586</v>
      </c>
      <c r="K9" s="33">
        <f t="shared" si="1"/>
        <v>31.566232214483879</v>
      </c>
      <c r="L9" s="33">
        <f>IF($D$6=0,"",100*$D9/$D$6)</f>
        <v>2.0025892153415903</v>
      </c>
    </row>
    <row r="10" spans="2:13" ht="12.95" customHeight="1" outlineLevel="1" x14ac:dyDescent="0.2">
      <c r="B10" s="109" t="s">
        <v>21</v>
      </c>
      <c r="C10" s="32">
        <f>C6-C8-C7-C9</f>
        <v>8559417576.9799995</v>
      </c>
      <c r="D10" s="32">
        <f>D6-D8-D7-D9</f>
        <v>4086205975.849997</v>
      </c>
      <c r="E10" s="97" t="s">
        <v>85</v>
      </c>
      <c r="F10" s="97" t="s">
        <v>85</v>
      </c>
      <c r="G10" s="97" t="s">
        <v>85</v>
      </c>
      <c r="H10" s="97" t="s">
        <v>85</v>
      </c>
      <c r="I10" s="97" t="s">
        <v>85</v>
      </c>
      <c r="J10" s="33">
        <f t="shared" si="0"/>
        <v>15.010540840115258</v>
      </c>
      <c r="K10" s="33">
        <f t="shared" si="1"/>
        <v>47.739299305125428</v>
      </c>
      <c r="L10" s="33">
        <f>IF($D$6=0,"",100*$D10/$D$6)</f>
        <v>47.726077303757542</v>
      </c>
    </row>
    <row r="11" spans="2:13" ht="26.85" customHeight="1" x14ac:dyDescent="0.2">
      <c r="B11" s="108" t="s">
        <v>91</v>
      </c>
      <c r="C11" s="54">
        <f>C12+C31+C33</f>
        <v>14400751487.170002</v>
      </c>
      <c r="D11" s="54">
        <f>D12+D31+D33</f>
        <v>5183344951.1400013</v>
      </c>
      <c r="E11" s="97" t="s">
        <v>85</v>
      </c>
      <c r="F11" s="97" t="s">
        <v>85</v>
      </c>
      <c r="G11" s="97" t="s">
        <v>85</v>
      </c>
      <c r="H11" s="97" t="s">
        <v>85</v>
      </c>
      <c r="I11" s="97" t="s">
        <v>85</v>
      </c>
      <c r="J11" s="55">
        <f t="shared" si="0"/>
        <v>19.040844132020915</v>
      </c>
      <c r="K11" s="55">
        <f t="shared" si="1"/>
        <v>35.99357266707905</v>
      </c>
      <c r="L11" s="57"/>
    </row>
    <row r="12" spans="2:13" ht="26.85" customHeight="1" outlineLevel="1" x14ac:dyDescent="0.2">
      <c r="B12" s="110" t="s">
        <v>42</v>
      </c>
      <c r="C12" s="54">
        <f>C13+C15+C17+C19+C21+C23+C25+C27+C29</f>
        <v>12884958949.35</v>
      </c>
      <c r="D12" s="54">
        <f>D13+D15+D17+D19+D21+D23+D25+D27+D29</f>
        <v>4791429588.710001</v>
      </c>
      <c r="E12" s="97" t="s">
        <v>85</v>
      </c>
      <c r="F12" s="97" t="s">
        <v>85</v>
      </c>
      <c r="G12" s="97" t="s">
        <v>85</v>
      </c>
      <c r="H12" s="97" t="s">
        <v>85</v>
      </c>
      <c r="I12" s="97" t="s">
        <v>85</v>
      </c>
      <c r="J12" s="55">
        <f t="shared" si="0"/>
        <v>17.601156170035505</v>
      </c>
      <c r="K12" s="55">
        <f t="shared" si="1"/>
        <v>37.186223157907008</v>
      </c>
      <c r="L12" s="36"/>
    </row>
    <row r="13" spans="2:13" ht="22.5" outlineLevel="1" x14ac:dyDescent="0.2">
      <c r="B13" s="111" t="s">
        <v>9</v>
      </c>
      <c r="C13" s="32">
        <f>3642434190.77</f>
        <v>3642434190.77</v>
      </c>
      <c r="D13" s="32">
        <f>2098985202.38</f>
        <v>2098985202.3800001</v>
      </c>
      <c r="E13" s="97" t="s">
        <v>85</v>
      </c>
      <c r="F13" s="97" t="s">
        <v>85</v>
      </c>
      <c r="G13" s="97" t="s">
        <v>85</v>
      </c>
      <c r="H13" s="97" t="s">
        <v>85</v>
      </c>
      <c r="I13" s="97" t="s">
        <v>85</v>
      </c>
      <c r="J13" s="33">
        <f t="shared" si="0"/>
        <v>7.7105518638395694</v>
      </c>
      <c r="K13" s="33">
        <f t="shared" si="1"/>
        <v>57.6258922590522</v>
      </c>
      <c r="L13" s="36"/>
    </row>
    <row r="14" spans="2:13" ht="12.95" customHeight="1" outlineLevel="1" x14ac:dyDescent="0.2">
      <c r="B14" s="114" t="s">
        <v>6</v>
      </c>
      <c r="C14" s="32">
        <f>174903850</f>
        <v>174903850</v>
      </c>
      <c r="D14" s="32">
        <f>27921135.55</f>
        <v>27921135.550000001</v>
      </c>
      <c r="E14" s="97" t="s">
        <v>85</v>
      </c>
      <c r="F14" s="97" t="s">
        <v>85</v>
      </c>
      <c r="G14" s="97" t="s">
        <v>85</v>
      </c>
      <c r="H14" s="97" t="s">
        <v>85</v>
      </c>
      <c r="I14" s="97" t="s">
        <v>85</v>
      </c>
      <c r="J14" s="33">
        <f t="shared" si="0"/>
        <v>0.10256735660235215</v>
      </c>
      <c r="K14" s="33">
        <f t="shared" si="1"/>
        <v>15.963705515916317</v>
      </c>
      <c r="L14" s="36"/>
    </row>
    <row r="15" spans="2:13" ht="12.95" customHeight="1" outlineLevel="1" x14ac:dyDescent="0.2">
      <c r="B15" s="111" t="s">
        <v>7</v>
      </c>
      <c r="C15" s="32">
        <f>999569140.24</f>
        <v>999569140.24000001</v>
      </c>
      <c r="D15" s="32">
        <f>392657335.15</f>
        <v>392657335.14999998</v>
      </c>
      <c r="E15" s="97" t="s">
        <v>85</v>
      </c>
      <c r="F15" s="97" t="s">
        <v>85</v>
      </c>
      <c r="G15" s="97" t="s">
        <v>85</v>
      </c>
      <c r="H15" s="97" t="s">
        <v>85</v>
      </c>
      <c r="I15" s="97" t="s">
        <v>85</v>
      </c>
      <c r="J15" s="33">
        <f t="shared" si="0"/>
        <v>1.4424135739299957</v>
      </c>
      <c r="K15" s="33">
        <f t="shared" si="1"/>
        <v>39.282658831956496</v>
      </c>
      <c r="L15" s="36"/>
    </row>
    <row r="16" spans="2:13" ht="12.95" customHeight="1" outlineLevel="1" x14ac:dyDescent="0.2">
      <c r="B16" s="114" t="s">
        <v>6</v>
      </c>
      <c r="C16" s="32">
        <f>287838252.84</f>
        <v>287838252.83999997</v>
      </c>
      <c r="D16" s="32">
        <f>39380191.65</f>
        <v>39380191.649999999</v>
      </c>
      <c r="E16" s="97" t="s">
        <v>85</v>
      </c>
      <c r="F16" s="97" t="s">
        <v>85</v>
      </c>
      <c r="G16" s="97" t="s">
        <v>85</v>
      </c>
      <c r="H16" s="97" t="s">
        <v>85</v>
      </c>
      <c r="I16" s="97" t="s">
        <v>85</v>
      </c>
      <c r="J16" s="33">
        <f t="shared" si="0"/>
        <v>0.14466181551969581</v>
      </c>
      <c r="K16" s="33">
        <f t="shared" si="1"/>
        <v>13.681361410948455</v>
      </c>
      <c r="L16" s="36"/>
    </row>
    <row r="17" spans="2:12" ht="33.75" outlineLevel="1" x14ac:dyDescent="0.2">
      <c r="B17" s="111" t="s">
        <v>10</v>
      </c>
      <c r="C17" s="32">
        <f>104507829.46</f>
        <v>104507829.45999999</v>
      </c>
      <c r="D17" s="32">
        <f>84831287.94</f>
        <v>84831287.939999998</v>
      </c>
      <c r="E17" s="97" t="s">
        <v>85</v>
      </c>
      <c r="F17" s="97" t="s">
        <v>85</v>
      </c>
      <c r="G17" s="97" t="s">
        <v>85</v>
      </c>
      <c r="H17" s="97" t="s">
        <v>85</v>
      </c>
      <c r="I17" s="97" t="s">
        <v>85</v>
      </c>
      <c r="J17" s="33">
        <f t="shared" si="0"/>
        <v>0.3116248959716395</v>
      </c>
      <c r="K17" s="33">
        <f t="shared" si="1"/>
        <v>81.172184302678374</v>
      </c>
      <c r="L17" s="36"/>
    </row>
    <row r="18" spans="2:12" ht="12.95" customHeight="1" outlineLevel="1" x14ac:dyDescent="0.2">
      <c r="B18" s="114" t="s">
        <v>6</v>
      </c>
      <c r="C18" s="32">
        <f>5593702.74</f>
        <v>5593702.7400000002</v>
      </c>
      <c r="D18" s="32">
        <f>750000</f>
        <v>750000</v>
      </c>
      <c r="E18" s="97" t="s">
        <v>85</v>
      </c>
      <c r="F18" s="97" t="s">
        <v>85</v>
      </c>
      <c r="G18" s="97" t="s">
        <v>85</v>
      </c>
      <c r="H18" s="97" t="s">
        <v>85</v>
      </c>
      <c r="I18" s="97" t="s">
        <v>85</v>
      </c>
      <c r="J18" s="33">
        <f t="shared" si="0"/>
        <v>2.7550998888999025E-3</v>
      </c>
      <c r="K18" s="33">
        <f t="shared" si="1"/>
        <v>13.407934508868806</v>
      </c>
      <c r="L18" s="36"/>
    </row>
    <row r="19" spans="2:12" ht="25.5" customHeight="1" outlineLevel="1" x14ac:dyDescent="0.2">
      <c r="B19" s="111" t="s">
        <v>11</v>
      </c>
      <c r="C19" s="32">
        <f>514967846.23</f>
        <v>514967846.23000002</v>
      </c>
      <c r="D19" s="32">
        <f>226211753.69</f>
        <v>226211753.69</v>
      </c>
      <c r="E19" s="97" t="s">
        <v>85</v>
      </c>
      <c r="F19" s="97" t="s">
        <v>85</v>
      </c>
      <c r="G19" s="97" t="s">
        <v>85</v>
      </c>
      <c r="H19" s="97" t="s">
        <v>85</v>
      </c>
      <c r="I19" s="97" t="s">
        <v>85</v>
      </c>
      <c r="J19" s="33">
        <f t="shared" si="0"/>
        <v>0.83098130327889475</v>
      </c>
      <c r="K19" s="33">
        <f t="shared" si="1"/>
        <v>43.92735494964613</v>
      </c>
      <c r="L19" s="36"/>
    </row>
    <row r="20" spans="2:12" ht="12.95" customHeight="1" outlineLevel="1" x14ac:dyDescent="0.2">
      <c r="B20" s="114" t="s">
        <v>6</v>
      </c>
      <c r="C20" s="32">
        <f>109136154</f>
        <v>109136154</v>
      </c>
      <c r="D20" s="32">
        <f>20855922.35</f>
        <v>20855922.350000001</v>
      </c>
      <c r="E20" s="97" t="s">
        <v>85</v>
      </c>
      <c r="F20" s="97" t="s">
        <v>85</v>
      </c>
      <c r="G20" s="97" t="s">
        <v>85</v>
      </c>
      <c r="H20" s="97" t="s">
        <v>85</v>
      </c>
      <c r="I20" s="97" t="s">
        <v>85</v>
      </c>
      <c r="J20" s="33">
        <f t="shared" si="0"/>
        <v>7.6613532465853326E-2</v>
      </c>
      <c r="K20" s="33">
        <f t="shared" si="1"/>
        <v>19.110003042621422</v>
      </c>
      <c r="L20" s="36"/>
    </row>
    <row r="21" spans="2:12" ht="35.25" customHeight="1" outlineLevel="1" x14ac:dyDescent="0.2">
      <c r="B21" s="111" t="s">
        <v>60</v>
      </c>
      <c r="C21" s="32">
        <f>1007400748.17</f>
        <v>1007400748.17</v>
      </c>
      <c r="D21" s="32">
        <f>306323725.73</f>
        <v>306323725.73000002</v>
      </c>
      <c r="E21" s="97" t="s">
        <v>85</v>
      </c>
      <c r="F21" s="97" t="s">
        <v>85</v>
      </c>
      <c r="G21" s="97" t="s">
        <v>85</v>
      </c>
      <c r="H21" s="97" t="s">
        <v>85</v>
      </c>
      <c r="I21" s="97" t="s">
        <v>85</v>
      </c>
      <c r="J21" s="33">
        <f t="shared" si="0"/>
        <v>1.1252699503015029</v>
      </c>
      <c r="K21" s="33">
        <f t="shared" si="1"/>
        <v>30.407335540146686</v>
      </c>
      <c r="L21" s="36"/>
    </row>
    <row r="22" spans="2:12" ht="12.95" customHeight="1" outlineLevel="1" x14ac:dyDescent="0.2">
      <c r="B22" s="114" t="s">
        <v>6</v>
      </c>
      <c r="C22" s="32">
        <f>810921284.86</f>
        <v>810921284.86000001</v>
      </c>
      <c r="D22" s="32">
        <f>207750311.8</f>
        <v>207750311.80000001</v>
      </c>
      <c r="E22" s="97" t="s">
        <v>85</v>
      </c>
      <c r="F22" s="97" t="s">
        <v>85</v>
      </c>
      <c r="G22" s="97" t="s">
        <v>85</v>
      </c>
      <c r="H22" s="97" t="s">
        <v>85</v>
      </c>
      <c r="I22" s="97" t="s">
        <v>85</v>
      </c>
      <c r="J22" s="33">
        <f t="shared" si="0"/>
        <v>0.76316381461213345</v>
      </c>
      <c r="K22" s="33">
        <f t="shared" si="1"/>
        <v>25.619047826062015</v>
      </c>
      <c r="L22" s="36"/>
    </row>
    <row r="23" spans="2:12" ht="12.95" customHeight="1" outlineLevel="1" x14ac:dyDescent="0.2">
      <c r="B23" s="111" t="s">
        <v>8</v>
      </c>
      <c r="C23" s="32">
        <f>95886384.64</f>
        <v>95886384.640000001</v>
      </c>
      <c r="D23" s="32">
        <f>27930005.03</f>
        <v>27930005.030000001</v>
      </c>
      <c r="E23" s="97" t="s">
        <v>85</v>
      </c>
      <c r="F23" s="97" t="s">
        <v>85</v>
      </c>
      <c r="G23" s="97" t="s">
        <v>85</v>
      </c>
      <c r="H23" s="97" t="s">
        <v>85</v>
      </c>
      <c r="I23" s="97" t="s">
        <v>85</v>
      </c>
      <c r="J23" s="33">
        <f t="shared" si="0"/>
        <v>0.10259993834016895</v>
      </c>
      <c r="K23" s="33">
        <f t="shared" si="1"/>
        <v>29.128228303592447</v>
      </c>
      <c r="L23" s="36"/>
    </row>
    <row r="24" spans="2:12" ht="12.95" customHeight="1" outlineLevel="1" x14ac:dyDescent="0.2">
      <c r="B24" s="114" t="s">
        <v>6</v>
      </c>
      <c r="C24" s="32">
        <f>73778799.51</f>
        <v>73778799.510000005</v>
      </c>
      <c r="D24" s="32">
        <f>15214789.23</f>
        <v>15214789.23</v>
      </c>
      <c r="E24" s="97" t="s">
        <v>85</v>
      </c>
      <c r="F24" s="97" t="s">
        <v>85</v>
      </c>
      <c r="G24" s="97" t="s">
        <v>85</v>
      </c>
      <c r="H24" s="97" t="s">
        <v>85</v>
      </c>
      <c r="I24" s="97" t="s">
        <v>85</v>
      </c>
      <c r="J24" s="33">
        <f t="shared" si="0"/>
        <v>5.5891018822944574E-2</v>
      </c>
      <c r="K24" s="33">
        <f t="shared" si="1"/>
        <v>20.622169689732864</v>
      </c>
      <c r="L24" s="36"/>
    </row>
    <row r="25" spans="2:12" ht="67.5" outlineLevel="1" x14ac:dyDescent="0.2">
      <c r="B25" s="111" t="s">
        <v>76</v>
      </c>
      <c r="C25" s="32">
        <f>713025</f>
        <v>713025</v>
      </c>
      <c r="D25" s="32">
        <f>51025</f>
        <v>51025</v>
      </c>
      <c r="E25" s="97" t="s">
        <v>85</v>
      </c>
      <c r="F25" s="97" t="s">
        <v>85</v>
      </c>
      <c r="G25" s="97" t="s">
        <v>85</v>
      </c>
      <c r="H25" s="97" t="s">
        <v>85</v>
      </c>
      <c r="I25" s="97" t="s">
        <v>85</v>
      </c>
      <c r="J25" s="33">
        <f t="shared" si="0"/>
        <v>1.8743862910815669E-4</v>
      </c>
      <c r="K25" s="33">
        <f t="shared" si="1"/>
        <v>7.1561305704568561</v>
      </c>
      <c r="L25" s="36"/>
    </row>
    <row r="26" spans="2:12" ht="12.95" customHeight="1" outlineLevel="1" x14ac:dyDescent="0.2">
      <c r="B26" s="114" t="s">
        <v>77</v>
      </c>
      <c r="C26" s="32">
        <f>662000</f>
        <v>662000</v>
      </c>
      <c r="D26" s="32">
        <f>0</f>
        <v>0</v>
      </c>
      <c r="E26" s="97" t="s">
        <v>85</v>
      </c>
      <c r="F26" s="97" t="s">
        <v>85</v>
      </c>
      <c r="G26" s="97" t="s">
        <v>85</v>
      </c>
      <c r="H26" s="97" t="s">
        <v>85</v>
      </c>
      <c r="I26" s="97" t="s">
        <v>85</v>
      </c>
      <c r="J26" s="33">
        <f t="shared" si="0"/>
        <v>0</v>
      </c>
      <c r="K26" s="33">
        <f t="shared" si="1"/>
        <v>0</v>
      </c>
      <c r="L26" s="36"/>
    </row>
    <row r="27" spans="2:12" ht="45" outlineLevel="1" x14ac:dyDescent="0.2">
      <c r="B27" s="112" t="s">
        <v>75</v>
      </c>
      <c r="C27" s="69">
        <f>6032244949.62</f>
        <v>6032244949.6199999</v>
      </c>
      <c r="D27" s="69">
        <f>1265838483.87</f>
        <v>1265838483.8699999</v>
      </c>
      <c r="E27" s="97" t="s">
        <v>85</v>
      </c>
      <c r="F27" s="97" t="s">
        <v>85</v>
      </c>
      <c r="G27" s="97" t="s">
        <v>85</v>
      </c>
      <c r="H27" s="97" t="s">
        <v>85</v>
      </c>
      <c r="I27" s="97" t="s">
        <v>85</v>
      </c>
      <c r="J27" s="70">
        <f t="shared" si="0"/>
        <v>4.6500152883672765</v>
      </c>
      <c r="K27" s="70">
        <f t="shared" si="1"/>
        <v>20.984533858323196</v>
      </c>
      <c r="L27" s="36"/>
    </row>
    <row r="28" spans="2:12" ht="12.95" customHeight="1" outlineLevel="1" x14ac:dyDescent="0.2">
      <c r="B28" s="114" t="s">
        <v>6</v>
      </c>
      <c r="C28" s="32">
        <f>6000171201.93</f>
        <v>6000171201.9300003</v>
      </c>
      <c r="D28" s="32">
        <f>1256714968.1</f>
        <v>1256714968.0999999</v>
      </c>
      <c r="E28" s="97" t="s">
        <v>85</v>
      </c>
      <c r="F28" s="97" t="s">
        <v>85</v>
      </c>
      <c r="G28" s="97" t="s">
        <v>85</v>
      </c>
      <c r="H28" s="97" t="s">
        <v>85</v>
      </c>
      <c r="I28" s="97" t="s">
        <v>85</v>
      </c>
      <c r="J28" s="33">
        <f t="shared" si="0"/>
        <v>4.6165003586548723</v>
      </c>
      <c r="K28" s="33">
        <f t="shared" si="1"/>
        <v>20.944651840863607</v>
      </c>
      <c r="L28" s="36"/>
    </row>
    <row r="29" spans="2:12" ht="22.5" outlineLevel="1" x14ac:dyDescent="0.2">
      <c r="B29" s="112" t="s">
        <v>94</v>
      </c>
      <c r="C29" s="32">
        <f>487234835.22</f>
        <v>487234835.22000003</v>
      </c>
      <c r="D29" s="32">
        <f>388600769.92</f>
        <v>388600769.92000002</v>
      </c>
      <c r="E29" s="97" t="s">
        <v>85</v>
      </c>
      <c r="F29" s="97" t="s">
        <v>85</v>
      </c>
      <c r="G29" s="97" t="s">
        <v>85</v>
      </c>
      <c r="H29" s="97" t="s">
        <v>85</v>
      </c>
      <c r="I29" s="97" t="s">
        <v>85</v>
      </c>
      <c r="J29" s="33">
        <f t="shared" si="0"/>
        <v>1.4275119173773447</v>
      </c>
      <c r="K29" s="33">
        <f t="shared" si="1"/>
        <v>79.7563601429557</v>
      </c>
      <c r="L29" s="36"/>
    </row>
    <row r="30" spans="2:12" ht="12.95" customHeight="1" outlineLevel="1" x14ac:dyDescent="0.2">
      <c r="B30" s="114" t="s">
        <v>6</v>
      </c>
      <c r="C30" s="32">
        <f>0</f>
        <v>0</v>
      </c>
      <c r="D30" s="32">
        <f>0</f>
        <v>0</v>
      </c>
      <c r="E30" s="97" t="s">
        <v>85</v>
      </c>
      <c r="F30" s="97" t="s">
        <v>85</v>
      </c>
      <c r="G30" s="97" t="s">
        <v>85</v>
      </c>
      <c r="H30" s="97" t="s">
        <v>85</v>
      </c>
      <c r="I30" s="97" t="s">
        <v>85</v>
      </c>
      <c r="J30" s="33">
        <f t="shared" si="0"/>
        <v>0</v>
      </c>
      <c r="K30" s="33" t="str">
        <f t="shared" si="1"/>
        <v/>
      </c>
      <c r="L30" s="36"/>
    </row>
    <row r="31" spans="2:12" ht="12.95" customHeight="1" outlineLevel="1" x14ac:dyDescent="0.2">
      <c r="B31" s="113" t="s">
        <v>67</v>
      </c>
      <c r="C31" s="30">
        <f>101063469.7</f>
        <v>101063469.7</v>
      </c>
      <c r="D31" s="30">
        <f>41232882.34</f>
        <v>41232882.340000004</v>
      </c>
      <c r="E31" s="97" t="s">
        <v>85</v>
      </c>
      <c r="F31" s="97" t="s">
        <v>85</v>
      </c>
      <c r="G31" s="97" t="s">
        <v>85</v>
      </c>
      <c r="H31" s="97" t="s">
        <v>85</v>
      </c>
      <c r="I31" s="97" t="s">
        <v>85</v>
      </c>
      <c r="J31" s="34">
        <f t="shared" si="0"/>
        <v>0.15146761273860901</v>
      </c>
      <c r="K31" s="34">
        <f t="shared" si="1"/>
        <v>40.798997365118176</v>
      </c>
      <c r="L31" s="21"/>
    </row>
    <row r="32" spans="2:12" ht="12.95" customHeight="1" outlineLevel="1" x14ac:dyDescent="0.2">
      <c r="B32" s="115" t="s">
        <v>53</v>
      </c>
      <c r="C32" s="35">
        <f>44190575.92</f>
        <v>44190575.920000002</v>
      </c>
      <c r="D32" s="35">
        <f>8570221.87</f>
        <v>8570221.8699999992</v>
      </c>
      <c r="E32" s="97" t="s">
        <v>85</v>
      </c>
      <c r="F32" s="97" t="s">
        <v>85</v>
      </c>
      <c r="G32" s="97" t="s">
        <v>85</v>
      </c>
      <c r="H32" s="97" t="s">
        <v>85</v>
      </c>
      <c r="I32" s="97" t="s">
        <v>85</v>
      </c>
      <c r="J32" s="33">
        <f t="shared" si="0"/>
        <v>3.1482423095846014E-2</v>
      </c>
      <c r="K32" s="33">
        <f t="shared" si="1"/>
        <v>19.393777273948682</v>
      </c>
      <c r="L32" s="21"/>
    </row>
    <row r="33" spans="1:26" ht="12.95" customHeight="1" outlineLevel="1" x14ac:dyDescent="0.2">
      <c r="B33" s="113" t="s">
        <v>68</v>
      </c>
      <c r="C33" s="58">
        <f>1414729068.12</f>
        <v>1414729068.1199999</v>
      </c>
      <c r="D33" s="58">
        <f>350682480.09</f>
        <v>350682480.08999997</v>
      </c>
      <c r="E33" s="97" t="s">
        <v>85</v>
      </c>
      <c r="F33" s="97" t="s">
        <v>85</v>
      </c>
      <c r="G33" s="97" t="s">
        <v>85</v>
      </c>
      <c r="H33" s="97" t="s">
        <v>85</v>
      </c>
      <c r="I33" s="97" t="s">
        <v>85</v>
      </c>
      <c r="J33" s="59">
        <f t="shared" si="0"/>
        <v>1.2882203492468016</v>
      </c>
      <c r="K33" s="59">
        <f t="shared" si="1"/>
        <v>24.787960323457103</v>
      </c>
      <c r="L33" s="21"/>
    </row>
    <row r="34" spans="1:26" ht="12.95" customHeight="1" outlineLevel="1" x14ac:dyDescent="0.2">
      <c r="B34" s="115" t="s">
        <v>65</v>
      </c>
      <c r="C34" s="35">
        <f>1076380346.98</f>
        <v>1076380346.98</v>
      </c>
      <c r="D34" s="35">
        <f>215423244.17</f>
        <v>215423244.16999999</v>
      </c>
      <c r="E34" s="97" t="s">
        <v>85</v>
      </c>
      <c r="F34" s="97" t="s">
        <v>85</v>
      </c>
      <c r="G34" s="97" t="s">
        <v>85</v>
      </c>
      <c r="H34" s="97" t="s">
        <v>85</v>
      </c>
      <c r="I34" s="97" t="s">
        <v>85</v>
      </c>
      <c r="J34" s="33">
        <f t="shared" si="0"/>
        <v>0.79135007477229802</v>
      </c>
      <c r="K34" s="33">
        <f t="shared" si="1"/>
        <v>20.013673119767834</v>
      </c>
      <c r="L34" s="21"/>
    </row>
    <row r="35" spans="1:26" s="5" customFormat="1" ht="26.85" customHeight="1" x14ac:dyDescent="0.2">
      <c r="B35" s="107" t="s">
        <v>43</v>
      </c>
      <c r="C35" s="30">
        <f>C36+C37+C38+C39+C40</f>
        <v>23071309932.560001</v>
      </c>
      <c r="D35" s="30">
        <f>D36+D37+D38+D39+D40</f>
        <v>13477109661</v>
      </c>
      <c r="E35" s="97" t="s">
        <v>85</v>
      </c>
      <c r="F35" s="97" t="s">
        <v>85</v>
      </c>
      <c r="G35" s="97" t="s">
        <v>85</v>
      </c>
      <c r="H35" s="97" t="s">
        <v>85</v>
      </c>
      <c r="I35" s="97" t="s">
        <v>85</v>
      </c>
      <c r="J35" s="31">
        <f t="shared" si="0"/>
        <v>49.507711106283864</v>
      </c>
      <c r="K35" s="31">
        <f t="shared" si="1"/>
        <v>58.415017181057713</v>
      </c>
      <c r="L35" s="22"/>
    </row>
    <row r="36" spans="1:26" ht="12.95" customHeight="1" outlineLevel="1" x14ac:dyDescent="0.2">
      <c r="B36" s="109" t="s">
        <v>30</v>
      </c>
      <c r="C36" s="32">
        <f>17118793539</f>
        <v>17118793539</v>
      </c>
      <c r="D36" s="32">
        <f>10549933912</f>
        <v>10549933912</v>
      </c>
      <c r="E36" s="97" t="s">
        <v>85</v>
      </c>
      <c r="F36" s="97" t="s">
        <v>85</v>
      </c>
      <c r="G36" s="97" t="s">
        <v>85</v>
      </c>
      <c r="H36" s="97" t="s">
        <v>85</v>
      </c>
      <c r="I36" s="97" t="s">
        <v>85</v>
      </c>
      <c r="J36" s="33">
        <f t="shared" si="0"/>
        <v>38.754828998470018</v>
      </c>
      <c r="K36" s="33">
        <f t="shared" si="1"/>
        <v>61.627788710490385</v>
      </c>
      <c r="L36" s="21"/>
    </row>
    <row r="37" spans="1:26" ht="12.95" customHeight="1" outlineLevel="1" x14ac:dyDescent="0.2">
      <c r="B37" s="109" t="s">
        <v>29</v>
      </c>
      <c r="C37" s="32">
        <f>1132545515</f>
        <v>1132545515</v>
      </c>
      <c r="D37" s="32">
        <f>566285484</f>
        <v>566285484</v>
      </c>
      <c r="E37" s="97" t="s">
        <v>85</v>
      </c>
      <c r="F37" s="97" t="s">
        <v>85</v>
      </c>
      <c r="G37" s="97" t="s">
        <v>85</v>
      </c>
      <c r="H37" s="97" t="s">
        <v>85</v>
      </c>
      <c r="I37" s="97" t="s">
        <v>85</v>
      </c>
      <c r="J37" s="33">
        <f t="shared" si="0"/>
        <v>2.08023076540537</v>
      </c>
      <c r="K37" s="33">
        <f t="shared" si="1"/>
        <v>50.001123707597749</v>
      </c>
      <c r="L37" s="21"/>
    </row>
    <row r="38" spans="1:26" ht="12.95" customHeight="1" outlineLevel="1" x14ac:dyDescent="0.2">
      <c r="B38" s="109" t="s">
        <v>31</v>
      </c>
      <c r="C38" s="32">
        <f>4272718207</f>
        <v>4272718207</v>
      </c>
      <c r="D38" s="32">
        <f>2136360600</f>
        <v>2136360600</v>
      </c>
      <c r="E38" s="97" t="s">
        <v>85</v>
      </c>
      <c r="F38" s="97" t="s">
        <v>85</v>
      </c>
      <c r="G38" s="97" t="s">
        <v>85</v>
      </c>
      <c r="H38" s="97" t="s">
        <v>85</v>
      </c>
      <c r="I38" s="97" t="s">
        <v>85</v>
      </c>
      <c r="J38" s="33">
        <f t="shared" si="0"/>
        <v>7.8478491356135054</v>
      </c>
      <c r="K38" s="33">
        <f t="shared" si="1"/>
        <v>50.000035024542399</v>
      </c>
      <c r="L38" s="21"/>
    </row>
    <row r="39" spans="1:26" ht="12.95" customHeight="1" outlineLevel="1" x14ac:dyDescent="0.2">
      <c r="B39" s="109" t="s">
        <v>104</v>
      </c>
      <c r="C39" s="32">
        <f>423513452.56</f>
        <v>423513452.56</v>
      </c>
      <c r="D39" s="32">
        <f>217063500</f>
        <v>217063500</v>
      </c>
      <c r="E39" s="97" t="s">
        <v>85</v>
      </c>
      <c r="F39" s="97" t="s">
        <v>85</v>
      </c>
      <c r="G39" s="97" t="s">
        <v>85</v>
      </c>
      <c r="H39" s="97" t="s">
        <v>85</v>
      </c>
      <c r="I39" s="97" t="s">
        <v>85</v>
      </c>
      <c r="J39" s="33">
        <f t="shared" si="0"/>
        <v>0.79737549964563192</v>
      </c>
      <c r="K39" s="33">
        <f>IF(C39=0,"",100*D39/C39)</f>
        <v>51.253035455644273</v>
      </c>
      <c r="L39" s="21"/>
    </row>
    <row r="40" spans="1:26" s="5" customFormat="1" ht="12.95" customHeight="1" outlineLevel="1" x14ac:dyDescent="0.2">
      <c r="B40" s="109" t="s">
        <v>28</v>
      </c>
      <c r="C40" s="32">
        <f>123739219</f>
        <v>123739219</v>
      </c>
      <c r="D40" s="32">
        <f>7466165</f>
        <v>7466165</v>
      </c>
      <c r="E40" s="97" t="s">
        <v>85</v>
      </c>
      <c r="F40" s="97" t="s">
        <v>85</v>
      </c>
      <c r="G40" s="97" t="s">
        <v>85</v>
      </c>
      <c r="H40" s="97" t="s">
        <v>85</v>
      </c>
      <c r="I40" s="97" t="s">
        <v>85</v>
      </c>
      <c r="J40" s="33">
        <f t="shared" si="0"/>
        <v>2.7426707149344452E-2</v>
      </c>
      <c r="K40" s="33">
        <f>IF(C40=0,"",100*D40/C40)</f>
        <v>6.0337903054002631</v>
      </c>
      <c r="L40" s="22"/>
    </row>
    <row r="41" spans="1:26" s="5" customFormat="1" ht="12.95" customHeight="1" x14ac:dyDescent="0.2">
      <c r="B41" s="106" t="s">
        <v>5</v>
      </c>
      <c r="C41" s="58">
        <f>+C5</f>
        <v>55177938588.389999</v>
      </c>
      <c r="D41" s="58">
        <f>+D5</f>
        <v>27222243484.59</v>
      </c>
      <c r="E41" s="97" t="s">
        <v>85</v>
      </c>
      <c r="F41" s="97" t="s">
        <v>85</v>
      </c>
      <c r="G41" s="97" t="s">
        <v>85</v>
      </c>
      <c r="H41" s="97" t="s">
        <v>85</v>
      </c>
      <c r="I41" s="97" t="s">
        <v>85</v>
      </c>
      <c r="J41" s="59">
        <f>IF($D$5=0,"",100*$D41/$D$41)</f>
        <v>100</v>
      </c>
      <c r="K41" s="59">
        <f t="shared" si="1"/>
        <v>49.335376023485296</v>
      </c>
    </row>
    <row r="42" spans="1:26" s="5" customFormat="1" ht="12.95" customHeight="1" x14ac:dyDescent="0.2">
      <c r="B42" s="116" t="s">
        <v>55</v>
      </c>
      <c r="C42" s="32">
        <f>11230379377.86</f>
        <v>11230379377.860001</v>
      </c>
      <c r="D42" s="32">
        <f>2459433549.02</f>
        <v>2459433549.02</v>
      </c>
      <c r="E42" s="97" t="s">
        <v>85</v>
      </c>
      <c r="F42" s="97" t="s">
        <v>85</v>
      </c>
      <c r="G42" s="97" t="s">
        <v>85</v>
      </c>
      <c r="H42" s="97" t="s">
        <v>85</v>
      </c>
      <c r="I42" s="97" t="s">
        <v>85</v>
      </c>
      <c r="J42" s="33">
        <f>IF($D$5=0,"",100*$D42/$D$41)</f>
        <v>9.0346467968822601</v>
      </c>
      <c r="K42" s="33">
        <f t="shared" si="1"/>
        <v>21.8998260545732</v>
      </c>
    </row>
    <row r="43" spans="1:26" s="5" customFormat="1" ht="12.95" customHeight="1" x14ac:dyDescent="0.2">
      <c r="A43" s="2"/>
      <c r="B43" s="116" t="s">
        <v>56</v>
      </c>
      <c r="C43" s="32">
        <f>C41-C42</f>
        <v>43947559210.529999</v>
      </c>
      <c r="D43" s="32">
        <f>D41-D42</f>
        <v>24762809935.57</v>
      </c>
      <c r="E43" s="97" t="s">
        <v>85</v>
      </c>
      <c r="F43" s="97" t="s">
        <v>85</v>
      </c>
      <c r="G43" s="97" t="s">
        <v>85</v>
      </c>
      <c r="H43" s="97" t="s">
        <v>85</v>
      </c>
      <c r="I43" s="97" t="s">
        <v>85</v>
      </c>
      <c r="J43" s="33">
        <f>IF($D$5=0,"",100*$D43/$D$41)</f>
        <v>90.965353203117743</v>
      </c>
      <c r="K43" s="33">
        <f t="shared" si="1"/>
        <v>56.346269008807063</v>
      </c>
      <c r="M43" s="15"/>
      <c r="N43" s="15"/>
      <c r="O43" s="9"/>
      <c r="P43" s="9"/>
      <c r="Q43" s="3"/>
    </row>
    <row r="44" spans="1:26" s="5" customFormat="1" ht="12.95" customHeight="1" x14ac:dyDescent="0.2">
      <c r="A44" s="2"/>
      <c r="B44" s="128" t="s">
        <v>95</v>
      </c>
      <c r="C44" s="76"/>
      <c r="D44" s="76"/>
      <c r="E44" s="127"/>
      <c r="F44" s="127"/>
      <c r="G44" s="127"/>
      <c r="H44" s="127"/>
      <c r="I44" s="127"/>
      <c r="J44" s="57"/>
      <c r="K44" s="57"/>
      <c r="M44" s="15"/>
      <c r="N44" s="15"/>
      <c r="O44" s="9"/>
      <c r="P44" s="9"/>
      <c r="Q44" s="3"/>
    </row>
    <row r="45" spans="1:26" ht="20.100000000000001" customHeight="1" x14ac:dyDescent="0.2">
      <c r="B45" s="117" t="str">
        <f>CONCATENATE("Informacja z wykonania budżetów powiatów za ",$D$104," ",$C$105," rok     ",$C$107,"")</f>
        <v xml:space="preserve">Informacja z wykonania budżetów powiatów za II Kwartały 2024 rok     </v>
      </c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</row>
    <row r="46" spans="1:26" s="5" customFormat="1" ht="9" customHeight="1" x14ac:dyDescent="0.2">
      <c r="B46" s="6"/>
      <c r="C46" s="7"/>
      <c r="D46" s="8"/>
      <c r="E46" s="8"/>
      <c r="F46" s="4"/>
      <c r="G46" s="4"/>
      <c r="H46" s="4"/>
      <c r="I46" s="4"/>
      <c r="J46" s="4"/>
      <c r="K46" s="9"/>
      <c r="L46" s="9"/>
      <c r="M46" s="3"/>
    </row>
    <row r="47" spans="1:26" ht="29.25" customHeight="1" x14ac:dyDescent="0.2">
      <c r="B47" s="150" t="s">
        <v>0</v>
      </c>
      <c r="C47" s="132" t="s">
        <v>37</v>
      </c>
      <c r="D47" s="132" t="s">
        <v>39</v>
      </c>
      <c r="E47" s="132" t="s">
        <v>38</v>
      </c>
      <c r="F47" s="132" t="s">
        <v>12</v>
      </c>
      <c r="G47" s="132"/>
      <c r="H47" s="132"/>
      <c r="I47" s="151" t="s">
        <v>66</v>
      </c>
      <c r="J47" s="132" t="s">
        <v>2</v>
      </c>
      <c r="K47" s="136" t="s">
        <v>18</v>
      </c>
      <c r="M47" s="10"/>
      <c r="N47" s="73"/>
      <c r="O47" s="77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8" customHeight="1" x14ac:dyDescent="0.2">
      <c r="B48" s="150"/>
      <c r="C48" s="132"/>
      <c r="D48" s="132"/>
      <c r="E48" s="133"/>
      <c r="F48" s="134" t="s">
        <v>40</v>
      </c>
      <c r="G48" s="148" t="s">
        <v>24</v>
      </c>
      <c r="H48" s="133"/>
      <c r="I48" s="152"/>
      <c r="J48" s="132"/>
      <c r="K48" s="136"/>
      <c r="L48" s="11"/>
      <c r="M48" s="12"/>
      <c r="N48" s="74"/>
      <c r="O48" s="78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2:26" ht="57" customHeight="1" x14ac:dyDescent="0.2">
      <c r="B49" s="150"/>
      <c r="C49" s="132"/>
      <c r="D49" s="132"/>
      <c r="E49" s="133"/>
      <c r="F49" s="133"/>
      <c r="G49" s="17" t="s">
        <v>35</v>
      </c>
      <c r="H49" s="17" t="s">
        <v>36</v>
      </c>
      <c r="I49" s="153"/>
      <c r="J49" s="132"/>
      <c r="K49" s="136"/>
      <c r="L49" s="11"/>
      <c r="M49" s="10"/>
      <c r="N49" s="74"/>
      <c r="O49" s="76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2:26" ht="13.5" customHeight="1" x14ac:dyDescent="0.2">
      <c r="B50" s="150"/>
      <c r="C50" s="154" t="s">
        <v>59</v>
      </c>
      <c r="D50" s="155"/>
      <c r="E50" s="155"/>
      <c r="F50" s="155"/>
      <c r="G50" s="155"/>
      <c r="H50" s="155"/>
      <c r="I50" s="156"/>
      <c r="J50" s="157" t="s">
        <v>4</v>
      </c>
      <c r="K50" s="157"/>
      <c r="N50" s="10"/>
      <c r="O50" s="78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2:26" ht="11.25" customHeight="1" x14ac:dyDescent="0.2">
      <c r="B51" s="16">
        <v>1</v>
      </c>
      <c r="C51" s="18">
        <v>2</v>
      </c>
      <c r="D51" s="18">
        <v>3</v>
      </c>
      <c r="E51" s="18">
        <v>4</v>
      </c>
      <c r="F51" s="16">
        <v>5</v>
      </c>
      <c r="G51" s="16">
        <v>6</v>
      </c>
      <c r="H51" s="18">
        <v>7</v>
      </c>
      <c r="I51" s="18">
        <v>8</v>
      </c>
      <c r="J51" s="16">
        <v>9</v>
      </c>
      <c r="K51" s="18">
        <v>10</v>
      </c>
      <c r="M51" s="10"/>
      <c r="N51" s="10"/>
      <c r="O51" s="76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2:26" ht="26.85" customHeight="1" x14ac:dyDescent="0.2">
      <c r="B52" s="103" t="s">
        <v>44</v>
      </c>
      <c r="C52" s="60">
        <f>59336639886.35</f>
        <v>59336639886.349998</v>
      </c>
      <c r="D52" s="72">
        <f>23989005875.24</f>
        <v>23989005875.240002</v>
      </c>
      <c r="E52" s="72">
        <f>43768702770.71</f>
        <v>43768702770.709999</v>
      </c>
      <c r="F52" s="60">
        <f>1531100650.73</f>
        <v>1531100650.73</v>
      </c>
      <c r="G52" s="60">
        <f>7595955.74</f>
        <v>7595955.7400000002</v>
      </c>
      <c r="H52" s="60">
        <f>1564003.48</f>
        <v>1564003.48</v>
      </c>
      <c r="I52" s="80">
        <f>0</f>
        <v>0</v>
      </c>
      <c r="J52" s="50">
        <f>IF($D$52=0,"",100*$D52/$D$52)</f>
        <v>100</v>
      </c>
      <c r="K52" s="50">
        <f>IF(C52=0,"",100*D52/C52)</f>
        <v>40.428655753320662</v>
      </c>
      <c r="O52" s="75"/>
    </row>
    <row r="53" spans="2:26" ht="12.95" customHeight="1" x14ac:dyDescent="0.2">
      <c r="B53" s="19" t="s">
        <v>14</v>
      </c>
      <c r="C53" s="38">
        <f>15876977339.14</f>
        <v>15876977339.139999</v>
      </c>
      <c r="D53" s="38">
        <f>2930485168.44</f>
        <v>2930485168.4400001</v>
      </c>
      <c r="E53" s="38">
        <f>9451137615.72</f>
        <v>9451137615.7199993</v>
      </c>
      <c r="F53" s="38">
        <f>612055641.6</f>
        <v>612055641.60000002</v>
      </c>
      <c r="G53" s="38">
        <f>5286.99</f>
        <v>5286.99</v>
      </c>
      <c r="H53" s="38">
        <f>9669.03</f>
        <v>9669.0300000000007</v>
      </c>
      <c r="I53" s="81">
        <f>0</f>
        <v>0</v>
      </c>
      <c r="J53" s="50">
        <f t="shared" ref="J53:J61" si="2">IF($D$52=0,"",100*$D53/$D$52)</f>
        <v>12.215950855490302</v>
      </c>
      <c r="K53" s="50">
        <f t="shared" ref="K53:K61" si="3">IF(C53=0,"",100*D53/C53)</f>
        <v>18.457450091685615</v>
      </c>
      <c r="O53" s="76"/>
    </row>
    <row r="54" spans="2:26" ht="12.95" customHeight="1" outlineLevel="1" x14ac:dyDescent="0.2">
      <c r="B54" s="20" t="s">
        <v>13</v>
      </c>
      <c r="C54" s="35">
        <f>15830553490.02</f>
        <v>15830553490.02</v>
      </c>
      <c r="D54" s="35">
        <f>2898349301.4</f>
        <v>2898349301.4000001</v>
      </c>
      <c r="E54" s="35">
        <f>9416971748.68</f>
        <v>9416971748.6800003</v>
      </c>
      <c r="F54" s="35">
        <f>612055641.6</f>
        <v>612055641.60000002</v>
      </c>
      <c r="G54" s="35">
        <f>5286.99</f>
        <v>5286.99</v>
      </c>
      <c r="H54" s="35">
        <f>9669.03</f>
        <v>9669.0300000000007</v>
      </c>
      <c r="I54" s="82">
        <f>0</f>
        <v>0</v>
      </c>
      <c r="J54" s="50">
        <f t="shared" si="2"/>
        <v>12.081990043578674</v>
      </c>
      <c r="K54" s="50">
        <f t="shared" si="3"/>
        <v>18.308578428588717</v>
      </c>
      <c r="O54" s="75"/>
    </row>
    <row r="55" spans="2:26" ht="26.85" customHeight="1" x14ac:dyDescent="0.2">
      <c r="B55" s="19" t="s">
        <v>45</v>
      </c>
      <c r="C55" s="38">
        <f t="shared" ref="C55:I55" si="4">C52-C53</f>
        <v>43459662547.209999</v>
      </c>
      <c r="D55" s="38">
        <f>D52-D53</f>
        <v>21058520706.800003</v>
      </c>
      <c r="E55" s="38">
        <f>E52-E53</f>
        <v>34317565154.989998</v>
      </c>
      <c r="F55" s="38">
        <f t="shared" si="4"/>
        <v>919045009.13</v>
      </c>
      <c r="G55" s="38">
        <f t="shared" si="4"/>
        <v>7590668.75</v>
      </c>
      <c r="H55" s="38">
        <f t="shared" si="4"/>
        <v>1554334.45</v>
      </c>
      <c r="I55" s="81">
        <f t="shared" si="4"/>
        <v>0</v>
      </c>
      <c r="J55" s="50">
        <f t="shared" si="2"/>
        <v>87.784049144509694</v>
      </c>
      <c r="K55" s="50">
        <f t="shared" si="3"/>
        <v>48.455324943962104</v>
      </c>
      <c r="O55" s="75"/>
    </row>
    <row r="56" spans="2:26" ht="22.5" outlineLevel="1" x14ac:dyDescent="0.2">
      <c r="B56" s="20" t="s">
        <v>84</v>
      </c>
      <c r="C56" s="35">
        <f>27668369609.02</f>
        <v>27668369609.02</v>
      </c>
      <c r="D56" s="35">
        <f>14072266116.89</f>
        <v>14072266116.889999</v>
      </c>
      <c r="E56" s="35">
        <f>24249332870.87</f>
        <v>24249332870.869999</v>
      </c>
      <c r="F56" s="35">
        <f>562414032.12</f>
        <v>562414032.12</v>
      </c>
      <c r="G56" s="35">
        <f>1971.94</f>
        <v>1971.94</v>
      </c>
      <c r="H56" s="35">
        <f>4143.58</f>
        <v>4143.58</v>
      </c>
      <c r="I56" s="82">
        <f>0</f>
        <v>0</v>
      </c>
      <c r="J56" s="50">
        <f t="shared" si="2"/>
        <v>58.661314229009136</v>
      </c>
      <c r="K56" s="50">
        <f t="shared" si="3"/>
        <v>50.860481899527556</v>
      </c>
      <c r="O56" s="76"/>
    </row>
    <row r="57" spans="2:26" ht="12.95" customHeight="1" outlineLevel="1" x14ac:dyDescent="0.2">
      <c r="B57" s="23" t="s">
        <v>34</v>
      </c>
      <c r="C57" s="61">
        <f>3500465036.16</f>
        <v>3500465036.1599998</v>
      </c>
      <c r="D57" s="61">
        <f>1784517791.89</f>
        <v>1784517791.8900001</v>
      </c>
      <c r="E57" s="61">
        <f>2535003759.91</f>
        <v>2535003759.9099998</v>
      </c>
      <c r="F57" s="61">
        <f>4185809.15</f>
        <v>4185809.15</v>
      </c>
      <c r="G57" s="61">
        <f>0</f>
        <v>0</v>
      </c>
      <c r="H57" s="61">
        <f>577.2</f>
        <v>577.20000000000005</v>
      </c>
      <c r="I57" s="83">
        <f>0</f>
        <v>0</v>
      </c>
      <c r="J57" s="50">
        <f t="shared" si="2"/>
        <v>7.4388984736206645</v>
      </c>
      <c r="K57" s="50">
        <f t="shared" si="3"/>
        <v>50.979449114784217</v>
      </c>
    </row>
    <row r="58" spans="2:26" ht="12.95" customHeight="1" outlineLevel="1" x14ac:dyDescent="0.2">
      <c r="B58" s="23" t="s">
        <v>33</v>
      </c>
      <c r="C58" s="32">
        <f>494228868.52</f>
        <v>494228868.51999998</v>
      </c>
      <c r="D58" s="32">
        <f>223168016.07</f>
        <v>223168016.06999999</v>
      </c>
      <c r="E58" s="32">
        <f>301234496.07</f>
        <v>301234496.06999999</v>
      </c>
      <c r="F58" s="32">
        <f>18729606.27</f>
        <v>18729606.27</v>
      </c>
      <c r="G58" s="32">
        <f>0</f>
        <v>0</v>
      </c>
      <c r="H58" s="32">
        <f>0</f>
        <v>0</v>
      </c>
      <c r="I58" s="84">
        <f>0</f>
        <v>0</v>
      </c>
      <c r="J58" s="50">
        <f t="shared" si="2"/>
        <v>0.93029289012905914</v>
      </c>
      <c r="K58" s="50">
        <f t="shared" si="3"/>
        <v>45.154791693631928</v>
      </c>
    </row>
    <row r="59" spans="2:26" ht="22.5" customHeight="1" outlineLevel="1" x14ac:dyDescent="0.2">
      <c r="B59" s="23" t="s">
        <v>51</v>
      </c>
      <c r="C59" s="61">
        <f>45654602.56</f>
        <v>45654602.560000002</v>
      </c>
      <c r="D59" s="61">
        <f>1174375</f>
        <v>1174375</v>
      </c>
      <c r="E59" s="61">
        <f>3940002.64</f>
        <v>3940002.64</v>
      </c>
      <c r="F59" s="61">
        <f>0</f>
        <v>0</v>
      </c>
      <c r="G59" s="61">
        <f>0</f>
        <v>0</v>
      </c>
      <c r="H59" s="61">
        <f>0</f>
        <v>0</v>
      </c>
      <c r="I59" s="83">
        <f>0</f>
        <v>0</v>
      </c>
      <c r="J59" s="50">
        <f t="shared" si="2"/>
        <v>4.8954717261215008E-3</v>
      </c>
      <c r="K59" s="50">
        <f t="shared" si="3"/>
        <v>2.5723036323810238</v>
      </c>
    </row>
    <row r="60" spans="2:26" ht="12.95" customHeight="1" outlineLevel="1" x14ac:dyDescent="0.2">
      <c r="B60" s="23" t="s">
        <v>52</v>
      </c>
      <c r="C60" s="61">
        <f>1235285012.82</f>
        <v>1235285012.8199999</v>
      </c>
      <c r="D60" s="61">
        <f>557658618.33</f>
        <v>557658618.33000004</v>
      </c>
      <c r="E60" s="61">
        <f>865016793.78</f>
        <v>865016793.77999997</v>
      </c>
      <c r="F60" s="61">
        <f>10015201.68</f>
        <v>10015201.68</v>
      </c>
      <c r="G60" s="61">
        <f>0</f>
        <v>0</v>
      </c>
      <c r="H60" s="61">
        <f>0</f>
        <v>0</v>
      </c>
      <c r="I60" s="85">
        <f>0</f>
        <v>0</v>
      </c>
      <c r="J60" s="50">
        <f t="shared" si="2"/>
        <v>2.3246424684300133</v>
      </c>
      <c r="K60" s="50">
        <f t="shared" si="3"/>
        <v>45.144125650560248</v>
      </c>
    </row>
    <row r="61" spans="2:26" ht="12.95" customHeight="1" outlineLevel="1" x14ac:dyDescent="0.2">
      <c r="B61" s="20" t="s">
        <v>32</v>
      </c>
      <c r="C61" s="35">
        <f t="shared" ref="C61:I61" si="5">C55-C56-C57-C58-C59-C60</f>
        <v>10515659418.129999</v>
      </c>
      <c r="D61" s="35">
        <f>D55-D56-D57-D58-D59-D60</f>
        <v>4419735788.6200037</v>
      </c>
      <c r="E61" s="86">
        <f>E55-E56-E57-E58-E59-E60</f>
        <v>6363037231.7199993</v>
      </c>
      <c r="F61" s="86">
        <f t="shared" si="5"/>
        <v>323700359.91000003</v>
      </c>
      <c r="G61" s="86">
        <f t="shared" si="5"/>
        <v>7588696.8099999996</v>
      </c>
      <c r="H61" s="86">
        <f t="shared" si="5"/>
        <v>1549613.67</v>
      </c>
      <c r="I61" s="87">
        <f t="shared" si="5"/>
        <v>0</v>
      </c>
      <c r="J61" s="50">
        <f t="shared" si="2"/>
        <v>18.424005611594716</v>
      </c>
      <c r="K61" s="50">
        <f t="shared" si="3"/>
        <v>42.030039324019548</v>
      </c>
    </row>
    <row r="62" spans="2:26" ht="12.95" customHeight="1" x14ac:dyDescent="0.2">
      <c r="B62" s="103" t="s">
        <v>15</v>
      </c>
      <c r="C62" s="64">
        <f>C5-C52</f>
        <v>-4158701297.9599991</v>
      </c>
      <c r="D62" s="64">
        <f>D5-D52</f>
        <v>3233237609.3499985</v>
      </c>
      <c r="E62" s="92"/>
      <c r="F62" s="93"/>
      <c r="G62" s="93"/>
      <c r="H62" s="93"/>
      <c r="I62" s="135"/>
      <c r="J62" s="135"/>
      <c r="K62" s="94"/>
      <c r="L62" s="88"/>
      <c r="M62" s="13"/>
    </row>
    <row r="63" spans="2:26" ht="39" customHeight="1" x14ac:dyDescent="0.2">
      <c r="B63" s="104" t="s">
        <v>93</v>
      </c>
      <c r="C63" s="65">
        <f>C43-C55</f>
        <v>487896663.31999969</v>
      </c>
      <c r="D63" s="65">
        <f>D43-D55</f>
        <v>3704289228.7699966</v>
      </c>
      <c r="E63" s="91"/>
      <c r="F63" s="89"/>
      <c r="G63" s="89"/>
      <c r="H63" s="89"/>
      <c r="I63" s="89"/>
      <c r="J63" s="89"/>
      <c r="K63" s="90"/>
      <c r="L63" s="90"/>
      <c r="M63" s="10"/>
    </row>
    <row r="64" spans="2:26" ht="12" customHeight="1" x14ac:dyDescent="0.2">
      <c r="B64" s="37"/>
      <c r="C64" s="42"/>
      <c r="D64" s="42"/>
      <c r="E64" s="42"/>
      <c r="F64" s="43"/>
      <c r="G64" s="43"/>
      <c r="H64" s="43"/>
      <c r="I64" s="43"/>
      <c r="J64" s="40"/>
      <c r="K64" s="40"/>
      <c r="L64" s="41"/>
      <c r="M64" s="10"/>
    </row>
    <row r="65" spans="2:13" ht="12" customHeight="1" x14ac:dyDescent="0.2">
      <c r="B65" s="126" t="s">
        <v>96</v>
      </c>
      <c r="C65" s="42"/>
      <c r="D65" s="42"/>
      <c r="E65" s="42"/>
      <c r="F65" s="43"/>
      <c r="G65" s="43"/>
      <c r="H65" s="43"/>
      <c r="I65" s="43"/>
      <c r="J65" s="40"/>
      <c r="K65" s="40"/>
      <c r="L65" s="41"/>
      <c r="M65" s="10"/>
    </row>
    <row r="66" spans="2:13" ht="26.85" customHeight="1" x14ac:dyDescent="0.2">
      <c r="B66" s="124" t="s">
        <v>92</v>
      </c>
      <c r="C66" s="122">
        <f>1774437835.86</f>
        <v>1774437835.8599999</v>
      </c>
      <c r="D66" s="62">
        <f>321025231.22</f>
        <v>321025231.22000003</v>
      </c>
      <c r="E66" s="62">
        <f>750792974.139999</f>
        <v>750792974.13999903</v>
      </c>
      <c r="F66" s="62">
        <f>21816469.37</f>
        <v>21816469.370000001</v>
      </c>
      <c r="G66" s="62">
        <f>0</f>
        <v>0</v>
      </c>
      <c r="H66" s="62">
        <f>0</f>
        <v>0</v>
      </c>
      <c r="I66" s="62">
        <f>0</f>
        <v>0</v>
      </c>
      <c r="J66" s="50">
        <f>IF($D$66=0,"",100*$D66/$D$66)</f>
        <v>100</v>
      </c>
      <c r="K66" s="63">
        <f>IF(C66=0,"",100*D66/C66)</f>
        <v>18.091658368207177</v>
      </c>
      <c r="L66" s="10"/>
    </row>
    <row r="67" spans="2:13" ht="12.95" customHeight="1" x14ac:dyDescent="0.2">
      <c r="B67" s="125" t="s">
        <v>57</v>
      </c>
      <c r="C67" s="123">
        <f>1255063834.56</f>
        <v>1255063834.5599999</v>
      </c>
      <c r="D67" s="61">
        <f>133653152.23</f>
        <v>133653152.23</v>
      </c>
      <c r="E67" s="61">
        <f>503041815.54</f>
        <v>503041815.54000002</v>
      </c>
      <c r="F67" s="61">
        <f>14078679.38</f>
        <v>14078679.380000001</v>
      </c>
      <c r="G67" s="61">
        <f>0</f>
        <v>0</v>
      </c>
      <c r="H67" s="61">
        <f>0</f>
        <v>0</v>
      </c>
      <c r="I67" s="61">
        <f>0</f>
        <v>0</v>
      </c>
      <c r="J67" s="50">
        <f>IF($D$66=0,"",100*$D67/$D$66)</f>
        <v>41.633223570021165</v>
      </c>
      <c r="K67" s="63">
        <f>IF(C67=0,"",100*D67/C67)</f>
        <v>10.649111905678973</v>
      </c>
    </row>
    <row r="68" spans="2:13" ht="12.95" customHeight="1" x14ac:dyDescent="0.2">
      <c r="B68" s="125" t="s">
        <v>58</v>
      </c>
      <c r="C68" s="123">
        <f>C66-C67</f>
        <v>519374001.29999995</v>
      </c>
      <c r="D68" s="61">
        <f t="shared" ref="D68:I68" si="6">D66-D67</f>
        <v>187372078.99000001</v>
      </c>
      <c r="E68" s="61">
        <f t="shared" si="6"/>
        <v>247751158.59999901</v>
      </c>
      <c r="F68" s="61">
        <f t="shared" si="6"/>
        <v>7737789.9900000002</v>
      </c>
      <c r="G68" s="61">
        <f t="shared" si="6"/>
        <v>0</v>
      </c>
      <c r="H68" s="61">
        <f t="shared" si="6"/>
        <v>0</v>
      </c>
      <c r="I68" s="61">
        <f t="shared" si="6"/>
        <v>0</v>
      </c>
      <c r="J68" s="50">
        <f>IF($D$66=0,"",100*$D68/$D$66)</f>
        <v>58.366776429978827</v>
      </c>
      <c r="K68" s="63">
        <f>IF(C68=0,"",100*D68/C68)</f>
        <v>36.076522606253917</v>
      </c>
    </row>
    <row r="69" spans="2:13" ht="20.100000000000001" customHeight="1" x14ac:dyDescent="0.2">
      <c r="B69" s="117" t="str">
        <f>CONCATENATE("Informacja z wykonania budżetów powiatów za ",$D$104," ",$C$105," rok     ",$C$107,"")</f>
        <v xml:space="preserve">Informacja z wykonania budżetów powiatów za II Kwartały 2024 rok     </v>
      </c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</row>
    <row r="70" spans="2:13" x14ac:dyDescent="0.2">
      <c r="B70" s="28" t="s">
        <v>16</v>
      </c>
      <c r="C70" s="95" t="s">
        <v>17</v>
      </c>
      <c r="D70" s="71" t="s">
        <v>1</v>
      </c>
      <c r="E70" s="139" t="s">
        <v>85</v>
      </c>
      <c r="F70" s="140"/>
      <c r="G70" s="140"/>
      <c r="H70" s="140"/>
      <c r="I70" s="141"/>
      <c r="J70" s="18" t="s">
        <v>22</v>
      </c>
      <c r="K70" s="18" t="s">
        <v>23</v>
      </c>
    </row>
    <row r="71" spans="2:13" x14ac:dyDescent="0.2">
      <c r="B71" s="28"/>
      <c r="C71" s="134" t="s">
        <v>59</v>
      </c>
      <c r="D71" s="149"/>
      <c r="E71" s="142"/>
      <c r="F71" s="143"/>
      <c r="G71" s="143"/>
      <c r="H71" s="143"/>
      <c r="I71" s="144"/>
      <c r="J71" s="130" t="s">
        <v>4</v>
      </c>
      <c r="K71" s="131"/>
    </row>
    <row r="72" spans="2:13" x14ac:dyDescent="0.2">
      <c r="B72" s="26">
        <v>1</v>
      </c>
      <c r="C72" s="29">
        <v>2</v>
      </c>
      <c r="D72" s="27">
        <v>3</v>
      </c>
      <c r="E72" s="145"/>
      <c r="F72" s="146"/>
      <c r="G72" s="146"/>
      <c r="H72" s="146"/>
      <c r="I72" s="147"/>
      <c r="J72" s="27">
        <v>4</v>
      </c>
      <c r="K72" s="27">
        <v>5</v>
      </c>
    </row>
    <row r="73" spans="2:13" ht="26.85" customHeight="1" x14ac:dyDescent="0.2">
      <c r="B73" s="105" t="s">
        <v>46</v>
      </c>
      <c r="C73" s="44">
        <f>5042355607.6</f>
        <v>5042355607.6000004</v>
      </c>
      <c r="D73" s="72">
        <f>5000505865.51</f>
        <v>5000505865.5100002</v>
      </c>
      <c r="E73" s="102" t="s">
        <v>85</v>
      </c>
      <c r="F73" s="102" t="s">
        <v>85</v>
      </c>
      <c r="G73" s="102" t="s">
        <v>85</v>
      </c>
      <c r="H73" s="102" t="s">
        <v>85</v>
      </c>
      <c r="I73" s="102" t="s">
        <v>85</v>
      </c>
      <c r="J73" s="45">
        <f>IF($D$73=0,"",100*$D73/$D$73)</f>
        <v>100</v>
      </c>
      <c r="K73" s="39">
        <f t="shared" ref="K73:K87" si="7">IF(C73=0,"",100*D73/C73)</f>
        <v>99.170035885074768</v>
      </c>
    </row>
    <row r="74" spans="2:13" ht="25.5" customHeight="1" x14ac:dyDescent="0.2">
      <c r="B74" s="119" t="s">
        <v>69</v>
      </c>
      <c r="C74" s="46">
        <f>1657131195.67</f>
        <v>1657131195.6700001</v>
      </c>
      <c r="D74" s="98">
        <f>87195004.77</f>
        <v>87195004.769999996</v>
      </c>
      <c r="E74" s="102" t="s">
        <v>85</v>
      </c>
      <c r="F74" s="102" t="s">
        <v>85</v>
      </c>
      <c r="G74" s="102" t="s">
        <v>85</v>
      </c>
      <c r="H74" s="102" t="s">
        <v>85</v>
      </c>
      <c r="I74" s="102" t="s">
        <v>85</v>
      </c>
      <c r="J74" s="47">
        <f t="shared" ref="J74:J83" si="8">IF($D$73=0,"",100*$D74/$D$73)</f>
        <v>1.7437236774665197</v>
      </c>
      <c r="K74" s="48">
        <f t="shared" si="7"/>
        <v>5.2618045570463057</v>
      </c>
    </row>
    <row r="75" spans="2:13" ht="22.5" x14ac:dyDescent="0.2">
      <c r="B75" s="120" t="s">
        <v>70</v>
      </c>
      <c r="C75" s="66">
        <f>91940000</f>
        <v>91940000</v>
      </c>
      <c r="D75" s="56">
        <f>0</f>
        <v>0</v>
      </c>
      <c r="E75" s="102" t="s">
        <v>85</v>
      </c>
      <c r="F75" s="102" t="s">
        <v>85</v>
      </c>
      <c r="G75" s="102" t="s">
        <v>85</v>
      </c>
      <c r="H75" s="102" t="s">
        <v>85</v>
      </c>
      <c r="I75" s="102" t="s">
        <v>85</v>
      </c>
      <c r="J75" s="67">
        <f t="shared" si="8"/>
        <v>0</v>
      </c>
      <c r="K75" s="68">
        <f t="shared" si="7"/>
        <v>0</v>
      </c>
    </row>
    <row r="76" spans="2:13" ht="12.95" customHeight="1" x14ac:dyDescent="0.2">
      <c r="B76" s="118" t="s">
        <v>71</v>
      </c>
      <c r="C76" s="66">
        <f>59184868.28</f>
        <v>59184868.280000001</v>
      </c>
      <c r="D76" s="56">
        <f>8150439.47</f>
        <v>8150439.4699999997</v>
      </c>
      <c r="E76" s="102" t="s">
        <v>85</v>
      </c>
      <c r="F76" s="102" t="s">
        <v>85</v>
      </c>
      <c r="G76" s="102" t="s">
        <v>85</v>
      </c>
      <c r="H76" s="102" t="s">
        <v>85</v>
      </c>
      <c r="I76" s="102" t="s">
        <v>85</v>
      </c>
      <c r="J76" s="67">
        <f t="shared" si="8"/>
        <v>0.16299229896351175</v>
      </c>
      <c r="K76" s="68">
        <f t="shared" si="7"/>
        <v>13.771154193400868</v>
      </c>
    </row>
    <row r="77" spans="2:13" ht="48.75" customHeight="1" x14ac:dyDescent="0.2">
      <c r="B77" s="118" t="s">
        <v>78</v>
      </c>
      <c r="C77" s="66">
        <f>747520913.76</f>
        <v>747520913.75999999</v>
      </c>
      <c r="D77" s="56">
        <f>1435181327.06</f>
        <v>1435181327.0599999</v>
      </c>
      <c r="E77" s="102" t="s">
        <v>85</v>
      </c>
      <c r="F77" s="102" t="s">
        <v>85</v>
      </c>
      <c r="G77" s="102" t="s">
        <v>85</v>
      </c>
      <c r="H77" s="102" t="s">
        <v>85</v>
      </c>
      <c r="I77" s="102" t="s">
        <v>85</v>
      </c>
      <c r="J77" s="67">
        <f t="shared" si="8"/>
        <v>28.700722800044677</v>
      </c>
      <c r="K77" s="68">
        <f t="shared" si="7"/>
        <v>191.9921303393501</v>
      </c>
    </row>
    <row r="78" spans="2:13" ht="35.25" customHeight="1" x14ac:dyDescent="0.2">
      <c r="B78" s="118" t="s">
        <v>79</v>
      </c>
      <c r="C78" s="66">
        <f>967405388.17</f>
        <v>967405388.16999996</v>
      </c>
      <c r="D78" s="56">
        <f>1067639254.8</f>
        <v>1067639254.8</v>
      </c>
      <c r="E78" s="102" t="s">
        <v>85</v>
      </c>
      <c r="F78" s="102" t="s">
        <v>85</v>
      </c>
      <c r="G78" s="102" t="s">
        <v>85</v>
      </c>
      <c r="H78" s="102" t="s">
        <v>85</v>
      </c>
      <c r="I78" s="102" t="s">
        <v>85</v>
      </c>
      <c r="J78" s="67">
        <f t="shared" si="8"/>
        <v>21.350624987040423</v>
      </c>
      <c r="K78" s="68">
        <f t="shared" si="7"/>
        <v>110.36110278645525</v>
      </c>
    </row>
    <row r="79" spans="2:13" ht="12.95" customHeight="1" x14ac:dyDescent="0.2">
      <c r="B79" s="118" t="s">
        <v>72</v>
      </c>
      <c r="C79" s="66">
        <f>0</f>
        <v>0</v>
      </c>
      <c r="D79" s="56">
        <f>0</f>
        <v>0</v>
      </c>
      <c r="E79" s="102" t="s">
        <v>85</v>
      </c>
      <c r="F79" s="102" t="s">
        <v>85</v>
      </c>
      <c r="G79" s="102" t="s">
        <v>85</v>
      </c>
      <c r="H79" s="102" t="s">
        <v>85</v>
      </c>
      <c r="I79" s="102" t="s">
        <v>85</v>
      </c>
      <c r="J79" s="67">
        <f t="shared" si="8"/>
        <v>0</v>
      </c>
      <c r="K79" s="68" t="str">
        <f t="shared" si="7"/>
        <v/>
      </c>
    </row>
    <row r="80" spans="2:13" ht="33.75" x14ac:dyDescent="0.2">
      <c r="B80" s="118" t="s">
        <v>73</v>
      </c>
      <c r="C80" s="66">
        <f>1531919316.64</f>
        <v>1531919316.6400001</v>
      </c>
      <c r="D80" s="56">
        <f>2312489942.74</f>
        <v>2312489942.7399998</v>
      </c>
      <c r="E80" s="102" t="s">
        <v>85</v>
      </c>
      <c r="F80" s="102" t="s">
        <v>85</v>
      </c>
      <c r="G80" s="102" t="s">
        <v>85</v>
      </c>
      <c r="H80" s="102" t="s">
        <v>85</v>
      </c>
      <c r="I80" s="102" t="s">
        <v>85</v>
      </c>
      <c r="J80" s="67">
        <f t="shared" si="8"/>
        <v>46.245120092547864</v>
      </c>
      <c r="K80" s="68">
        <f t="shared" si="7"/>
        <v>150.95376875409119</v>
      </c>
    </row>
    <row r="81" spans="2:11" ht="56.25" x14ac:dyDescent="0.2">
      <c r="B81" s="118" t="s">
        <v>101</v>
      </c>
      <c r="C81" s="66">
        <f>0</f>
        <v>0</v>
      </c>
      <c r="D81" s="56">
        <f>17392854.59</f>
        <v>17392854.59</v>
      </c>
      <c r="E81" s="102" t="s">
        <v>85</v>
      </c>
      <c r="F81" s="102" t="s">
        <v>85</v>
      </c>
      <c r="G81" s="102" t="s">
        <v>85</v>
      </c>
      <c r="H81" s="102" t="s">
        <v>85</v>
      </c>
      <c r="I81" s="102" t="s">
        <v>85</v>
      </c>
      <c r="J81" s="67">
        <f t="shared" si="8"/>
        <v>0.34782190157927367</v>
      </c>
      <c r="K81" s="68" t="str">
        <f>IF(C81=0,"",100*D81/C81)</f>
        <v/>
      </c>
    </row>
    <row r="82" spans="2:11" x14ac:dyDescent="0.2">
      <c r="B82" s="118" t="s">
        <v>97</v>
      </c>
      <c r="C82" s="66">
        <f>79193925.08</f>
        <v>79193925.079999998</v>
      </c>
      <c r="D82" s="56">
        <f>72457042.08</f>
        <v>72457042.079999998</v>
      </c>
      <c r="E82" s="102" t="s">
        <v>85</v>
      </c>
      <c r="F82" s="102" t="s">
        <v>85</v>
      </c>
      <c r="G82" s="102" t="s">
        <v>85</v>
      </c>
      <c r="H82" s="102" t="s">
        <v>85</v>
      </c>
      <c r="I82" s="102" t="s">
        <v>85</v>
      </c>
      <c r="J82" s="67">
        <f t="shared" si="8"/>
        <v>1.4489942423577205</v>
      </c>
      <c r="K82" s="68">
        <f>IF(C82=0,"",100*D82/C82)</f>
        <v>91.493182092951514</v>
      </c>
    </row>
    <row r="83" spans="2:11" ht="23.25" customHeight="1" x14ac:dyDescent="0.2">
      <c r="B83" s="120" t="s">
        <v>98</v>
      </c>
      <c r="C83" s="66">
        <f>72193925.08</f>
        <v>72193925.079999998</v>
      </c>
      <c r="D83" s="56">
        <f>72457042.08</f>
        <v>72457042.079999998</v>
      </c>
      <c r="E83" s="102" t="s">
        <v>85</v>
      </c>
      <c r="F83" s="102" t="s">
        <v>85</v>
      </c>
      <c r="G83" s="102" t="s">
        <v>85</v>
      </c>
      <c r="H83" s="102" t="s">
        <v>85</v>
      </c>
      <c r="I83" s="102" t="s">
        <v>85</v>
      </c>
      <c r="J83" s="67">
        <f t="shared" si="8"/>
        <v>1.4489942423577205</v>
      </c>
      <c r="K83" s="68">
        <f>IF(C83=0,"",100*D83/C83)</f>
        <v>100.36445864345018</v>
      </c>
    </row>
    <row r="84" spans="2:11" ht="26.85" customHeight="1" x14ac:dyDescent="0.2">
      <c r="B84" s="105" t="s">
        <v>47</v>
      </c>
      <c r="C84" s="51">
        <f>883654309.64</f>
        <v>883654309.63999999</v>
      </c>
      <c r="D84" s="72">
        <f>578408212.76</f>
        <v>578408212.75999999</v>
      </c>
      <c r="E84" s="102" t="s">
        <v>85</v>
      </c>
      <c r="F84" s="102" t="s">
        <v>85</v>
      </c>
      <c r="G84" s="102" t="s">
        <v>85</v>
      </c>
      <c r="H84" s="102" t="s">
        <v>85</v>
      </c>
      <c r="I84" s="102" t="s">
        <v>85</v>
      </c>
      <c r="J84" s="45">
        <f t="shared" ref="J84:J89" si="9">IF($D$84=0,"",100*$D84/$D$84)</f>
        <v>100</v>
      </c>
      <c r="K84" s="39">
        <f t="shared" si="7"/>
        <v>65.456390179961105</v>
      </c>
    </row>
    <row r="85" spans="2:11" ht="33.75" x14ac:dyDescent="0.2">
      <c r="B85" s="119" t="s">
        <v>102</v>
      </c>
      <c r="C85" s="46">
        <f>785988952.61</f>
        <v>785988952.61000001</v>
      </c>
      <c r="D85" s="99">
        <f>343097691.93</f>
        <v>343097691.93000001</v>
      </c>
      <c r="E85" s="102" t="s">
        <v>85</v>
      </c>
      <c r="F85" s="102" t="s">
        <v>85</v>
      </c>
      <c r="G85" s="102" t="s">
        <v>85</v>
      </c>
      <c r="H85" s="102" t="s">
        <v>85</v>
      </c>
      <c r="I85" s="102" t="s">
        <v>85</v>
      </c>
      <c r="J85" s="47">
        <f t="shared" si="9"/>
        <v>59.317569211687903</v>
      </c>
      <c r="K85" s="48">
        <f t="shared" si="7"/>
        <v>43.651719377313142</v>
      </c>
    </row>
    <row r="86" spans="2:11" ht="12.95" customHeight="1" x14ac:dyDescent="0.2">
      <c r="B86" s="120" t="s">
        <v>74</v>
      </c>
      <c r="C86" s="66">
        <f>29804000</f>
        <v>29804000</v>
      </c>
      <c r="D86" s="56">
        <f>2007000</f>
        <v>2007000</v>
      </c>
      <c r="E86" s="102" t="s">
        <v>85</v>
      </c>
      <c r="F86" s="102" t="s">
        <v>85</v>
      </c>
      <c r="G86" s="102" t="s">
        <v>85</v>
      </c>
      <c r="H86" s="102" t="s">
        <v>85</v>
      </c>
      <c r="I86" s="102" t="s">
        <v>85</v>
      </c>
      <c r="J86" s="67">
        <f t="shared" si="9"/>
        <v>0.34698677434456976</v>
      </c>
      <c r="K86" s="68">
        <f t="shared" si="7"/>
        <v>6.7339954368541139</v>
      </c>
    </row>
    <row r="87" spans="2:11" ht="12.95" customHeight="1" x14ac:dyDescent="0.2">
      <c r="B87" s="118" t="s">
        <v>83</v>
      </c>
      <c r="C87" s="66">
        <f>70076823.32</f>
        <v>70076823.319999993</v>
      </c>
      <c r="D87" s="56">
        <f>57507626.32</f>
        <v>57507626.32</v>
      </c>
      <c r="E87" s="102" t="s">
        <v>85</v>
      </c>
      <c r="F87" s="102" t="s">
        <v>85</v>
      </c>
      <c r="G87" s="102" t="s">
        <v>85</v>
      </c>
      <c r="H87" s="102" t="s">
        <v>85</v>
      </c>
      <c r="I87" s="102" t="s">
        <v>85</v>
      </c>
      <c r="J87" s="67">
        <f t="shared" si="9"/>
        <v>9.942394497752705</v>
      </c>
      <c r="K87" s="68">
        <f t="shared" si="7"/>
        <v>82.06368895661295</v>
      </c>
    </row>
    <row r="88" spans="2:11" ht="12.95" customHeight="1" x14ac:dyDescent="0.2">
      <c r="B88" s="118" t="s">
        <v>99</v>
      </c>
      <c r="C88" s="66">
        <f>27588533.71</f>
        <v>27588533.710000001</v>
      </c>
      <c r="D88" s="56">
        <f>177802894.51</f>
        <v>177802894.50999999</v>
      </c>
      <c r="E88" s="102" t="s">
        <v>85</v>
      </c>
      <c r="F88" s="102" t="s">
        <v>85</v>
      </c>
      <c r="G88" s="102" t="s">
        <v>85</v>
      </c>
      <c r="H88" s="102" t="s">
        <v>85</v>
      </c>
      <c r="I88" s="102" t="s">
        <v>85</v>
      </c>
      <c r="J88" s="67">
        <f t="shared" si="9"/>
        <v>30.740036290559395</v>
      </c>
      <c r="K88" s="68">
        <f>IF(C88=0,"",100*D88/C88)</f>
        <v>644.48113255671819</v>
      </c>
    </row>
    <row r="89" spans="2:11" ht="22.5" x14ac:dyDescent="0.2">
      <c r="B89" s="120" t="s">
        <v>100</v>
      </c>
      <c r="C89" s="66">
        <f>10569701.27</f>
        <v>10569701.27</v>
      </c>
      <c r="D89" s="56">
        <f>4882130.24</f>
        <v>4882130.24</v>
      </c>
      <c r="E89" s="102" t="s">
        <v>85</v>
      </c>
      <c r="F89" s="102" t="s">
        <v>85</v>
      </c>
      <c r="G89" s="102" t="s">
        <v>85</v>
      </c>
      <c r="H89" s="102" t="s">
        <v>85</v>
      </c>
      <c r="I89" s="102" t="s">
        <v>85</v>
      </c>
      <c r="J89" s="67">
        <f t="shared" si="9"/>
        <v>0.84406309113486799</v>
      </c>
      <c r="K89" s="68">
        <f>IF(C89=0,"",100*D89/C89)</f>
        <v>46.189860198385723</v>
      </c>
    </row>
    <row r="90" spans="2:11" x14ac:dyDescent="0.2">
      <c r="B90" s="25"/>
    </row>
    <row r="91" spans="2:11" x14ac:dyDescent="0.2">
      <c r="B91" s="52" t="s">
        <v>16</v>
      </c>
      <c r="C91" s="79" t="s">
        <v>17</v>
      </c>
      <c r="D91" s="18" t="s">
        <v>1</v>
      </c>
    </row>
    <row r="92" spans="2:11" x14ac:dyDescent="0.2">
      <c r="B92" s="52"/>
      <c r="C92" s="132" t="s">
        <v>59</v>
      </c>
      <c r="D92" s="132"/>
    </row>
    <row r="93" spans="2:11" x14ac:dyDescent="0.2">
      <c r="B93" s="26">
        <v>1</v>
      </c>
      <c r="C93" s="27">
        <v>2</v>
      </c>
      <c r="D93" s="27">
        <v>3</v>
      </c>
    </row>
    <row r="94" spans="2:11" ht="36" customHeight="1" x14ac:dyDescent="0.2">
      <c r="B94" s="53" t="s">
        <v>103</v>
      </c>
      <c r="C94" s="49">
        <f>4178424533.54</f>
        <v>4178424533.54</v>
      </c>
      <c r="D94" s="96">
        <f>0</f>
        <v>0</v>
      </c>
    </row>
    <row r="95" spans="2:11" ht="35.25" customHeight="1" x14ac:dyDescent="0.2">
      <c r="B95" s="121" t="s">
        <v>61</v>
      </c>
      <c r="C95" s="66">
        <f>82740000</f>
        <v>82740000</v>
      </c>
      <c r="D95" s="56">
        <f>0</f>
        <v>0</v>
      </c>
    </row>
    <row r="96" spans="2:11" ht="12.95" customHeight="1" x14ac:dyDescent="0.2">
      <c r="B96" s="121" t="s">
        <v>62</v>
      </c>
      <c r="C96" s="66">
        <f>1203468834.47</f>
        <v>1203468834.47</v>
      </c>
      <c r="D96" s="56">
        <f>0</f>
        <v>0</v>
      </c>
    </row>
    <row r="97" spans="2:4" ht="24" customHeight="1" x14ac:dyDescent="0.2">
      <c r="B97" s="121" t="s">
        <v>63</v>
      </c>
      <c r="C97" s="66">
        <f>0</f>
        <v>0</v>
      </c>
      <c r="D97" s="56">
        <f>0</f>
        <v>0</v>
      </c>
    </row>
    <row r="98" spans="2:4" ht="57.75" customHeight="1" x14ac:dyDescent="0.2">
      <c r="B98" s="121" t="s">
        <v>80</v>
      </c>
      <c r="C98" s="66">
        <f>685281455.9</f>
        <v>685281455.89999998</v>
      </c>
      <c r="D98" s="56">
        <f>0</f>
        <v>0</v>
      </c>
    </row>
    <row r="99" spans="2:4" ht="81" customHeight="1" x14ac:dyDescent="0.2">
      <c r="B99" s="121" t="s">
        <v>64</v>
      </c>
      <c r="C99" s="66">
        <f>1213386093.17</f>
        <v>1213386093.1700001</v>
      </c>
      <c r="D99" s="56">
        <f>0</f>
        <v>0</v>
      </c>
    </row>
    <row r="100" spans="2:4" ht="149.25" customHeight="1" x14ac:dyDescent="0.2">
      <c r="B100" s="121" t="s">
        <v>81</v>
      </c>
      <c r="C100" s="66">
        <f>936345154.53</f>
        <v>936345154.52999997</v>
      </c>
      <c r="D100" s="56">
        <f>0</f>
        <v>0</v>
      </c>
    </row>
    <row r="101" spans="2:4" ht="25.5" customHeight="1" x14ac:dyDescent="0.2">
      <c r="B101" s="121" t="s">
        <v>82</v>
      </c>
      <c r="C101" s="66">
        <f>14488077.88</f>
        <v>14488077.880000001</v>
      </c>
      <c r="D101" s="56">
        <f>0</f>
        <v>0</v>
      </c>
    </row>
    <row r="102" spans="2:4" ht="25.5" customHeight="1" x14ac:dyDescent="0.2">
      <c r="B102" s="129" t="s">
        <v>98</v>
      </c>
      <c r="C102" s="66">
        <f>42714917.59</f>
        <v>42714917.590000004</v>
      </c>
      <c r="D102" s="56">
        <f>0</f>
        <v>0</v>
      </c>
    </row>
    <row r="104" spans="2:4" ht="10.5" customHeight="1" x14ac:dyDescent="0.2">
      <c r="B104" s="24" t="s">
        <v>48</v>
      </c>
      <c r="C104" s="24">
        <f>2</f>
        <v>2</v>
      </c>
      <c r="D104" s="24" t="str">
        <f>IF(C104=1,"I Kwartał",IF(C104=2,"II Kwartały",IF(C104=3,"III Kwartały",IF(C104=4,"IV Kwartały",IF(C104="M1","Styczeń",IF(C104="M11","Listopad",IF(C104="M12","Grudzień","-")))))))</f>
        <v>II Kwartały</v>
      </c>
    </row>
    <row r="105" spans="2:4" ht="10.5" customHeight="1" x14ac:dyDescent="0.2">
      <c r="B105" s="24" t="s">
        <v>49</v>
      </c>
      <c r="C105" s="100">
        <f>2024</f>
        <v>2024</v>
      </c>
      <c r="D105" s="25"/>
    </row>
    <row r="106" spans="2:4" ht="12" customHeight="1" x14ac:dyDescent="0.2">
      <c r="B106" s="24" t="s">
        <v>50</v>
      </c>
      <c r="C106" s="137" t="str">
        <f>"Aug 14 2024 12:00AM"</f>
        <v>Aug 14 2024 12:00AM</v>
      </c>
      <c r="D106" s="138"/>
    </row>
    <row r="107" spans="2:4" ht="9.75" hidden="1" customHeight="1" x14ac:dyDescent="0.2">
      <c r="B107" s="24" t="s">
        <v>54</v>
      </c>
      <c r="C107" s="101" t="str">
        <f>""</f>
        <v/>
      </c>
      <c r="D107" s="25"/>
    </row>
  </sheetData>
  <mergeCells count="22">
    <mergeCell ref="B2:B3"/>
    <mergeCell ref="C47:C49"/>
    <mergeCell ref="B47:B50"/>
    <mergeCell ref="I47:I49"/>
    <mergeCell ref="C50:I50"/>
    <mergeCell ref="J47:J49"/>
    <mergeCell ref="J50:K50"/>
    <mergeCell ref="C3:D3"/>
    <mergeCell ref="J3:L3"/>
    <mergeCell ref="E3:I4"/>
    <mergeCell ref="C106:D106"/>
    <mergeCell ref="E70:I72"/>
    <mergeCell ref="F47:H47"/>
    <mergeCell ref="G48:H48"/>
    <mergeCell ref="C71:D71"/>
    <mergeCell ref="C92:D92"/>
    <mergeCell ref="J71:K71"/>
    <mergeCell ref="D47:D49"/>
    <mergeCell ref="E47:E49"/>
    <mergeCell ref="F48:F49"/>
    <mergeCell ref="I62:J62"/>
    <mergeCell ref="K47:K49"/>
  </mergeCells>
  <phoneticPr fontId="0" type="noConversion"/>
  <pageMargins left="0.19685039370078741" right="0.19685039370078741" top="0.35433070866141736" bottom="0.39370078740157483" header="0.31496062992125984" footer="0.19685039370078741"/>
  <pageSetup paperSize="9" scale="85" orientation="landscape" useFirstPageNumber="1" r:id="rId1"/>
  <headerFooter alignWithMargins="0">
    <oddFooter>&amp;RStrona &amp;P z &amp;N</oddFooter>
  </headerFooter>
  <rowBreaks count="4" manualBreakCount="4">
    <brk id="34" min="1" max="11" man="1"/>
    <brk id="44" max="16383" man="1"/>
    <brk id="68" max="16383" man="1"/>
    <brk id="90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doch_wyd</vt:lpstr>
      <vt:lpstr>doch_wyd!Obszar_wydruku</vt:lpstr>
    </vt:vector>
  </TitlesOfParts>
  <Company>Min. Fin.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2017-03-30T11:49:59Z</cp:lastPrinted>
  <dcterms:created xsi:type="dcterms:W3CDTF">2001-05-17T08:58:03Z</dcterms:created>
  <dcterms:modified xsi:type="dcterms:W3CDTF">2024-08-26T09:36:31Z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UxC4dwLulzfINJ8nQH+xvX5LNGipWa4BRSZhPgxsCvk7M1oCNyvPTX/IYTk7NheEi2D6He/Paz9ay8OzXVpSqA==</vt:lpwstr>
  </property>
  <property fmtid="{D5CDD505-2E9C-101B-9397-08002B2CF9AE}" pid="4" name="MFClassificationDate">
    <vt:lpwstr>2022-06-01T15:12:20.5504483+02:00</vt:lpwstr>
  </property>
  <property fmtid="{D5CDD505-2E9C-101B-9397-08002B2CF9AE}" pid="5" name="MFClassifiedBySID">
    <vt:lpwstr>UxC4dwLulzfINJ8nQH+xvX5LNGipWa4BRSZhPgxsCvm42mrIC/DSDv0ggS+FjUN/2v1BBotkLlY5aAiEhoi6uT6l/lYoTwrNwDVvKCDJdoy+W2nzAk+kqrZcOJSg0aUa</vt:lpwstr>
  </property>
  <property fmtid="{D5CDD505-2E9C-101B-9397-08002B2CF9AE}" pid="6" name="MFGRNItemId">
    <vt:lpwstr>GRN-bdb4f178-0504-4a7c-baaa-5bdd997b4a6c</vt:lpwstr>
  </property>
  <property fmtid="{D5CDD505-2E9C-101B-9397-08002B2CF9AE}" pid="7" name="MFHash">
    <vt:lpwstr>cvgFc3qUTZFJKNGd/QdKw5m28phCkq0fuCyZvwRduGg=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