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.luszczynska\Desktop\PLIKI\Plan NFZ\"/>
    </mc:Choice>
  </mc:AlternateContent>
  <bookViews>
    <workbookView xWindow="-15" yWindow="885" windowWidth="19440" windowHeight="11580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WarmińskoMazurski!$A$6:$C$65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CENTRALA!$A$1:$F$66</definedName>
    <definedName name="_xlnm.Print_Area" localSheetId="3">Dolnośląski!$A$1:$F$66</definedName>
    <definedName name="_xlnm.Print_Area" localSheetId="4">KujawskoPomorski!$A$1:$F$66</definedName>
    <definedName name="_xlnm.Print_Area" localSheetId="5">Lubelski!$A$1:$F$66</definedName>
    <definedName name="_xlnm.Print_Area" localSheetId="6">Lubuski!$A$1:$F$66</definedName>
    <definedName name="_xlnm.Print_Area" localSheetId="7">Łódzki!$A$1:$F$66</definedName>
    <definedName name="_xlnm.Print_Area" localSheetId="8">Małopolski!$A$1:$F$66</definedName>
    <definedName name="_xlnm.Print_Area" localSheetId="9">Mazowiecki!$A$1:$F$66</definedName>
    <definedName name="_xlnm.Print_Area" localSheetId="0">NFZ!$A$1:$F$94</definedName>
    <definedName name="_xlnm.Print_Area" localSheetId="10">Opolski!$A$1:$F$66</definedName>
    <definedName name="_xlnm.Print_Area" localSheetId="11">Podkarpacki!$A$1:$F$66</definedName>
    <definedName name="_xlnm.Print_Area" localSheetId="12">Podlaski!$A$1:$F$66</definedName>
    <definedName name="_xlnm.Print_Area" localSheetId="13">Pomorski!$A$1:$F$66</definedName>
    <definedName name="_xlnm.Print_Area" localSheetId="2">'Razem OW'!$A$1:$F$66</definedName>
    <definedName name="_xlnm.Print_Area" localSheetId="14">Śląski!$A$1:$F$66</definedName>
    <definedName name="_xlnm.Print_Area" localSheetId="15">Świętokrzyski!$A$1:$F$66</definedName>
    <definedName name="_xlnm.Print_Area" localSheetId="16">WarmińskoMazurski!$A$1:$F$66</definedName>
    <definedName name="_xlnm.Print_Area" localSheetId="17">Wielkopolski!$A$1:$F$66</definedName>
    <definedName name="_xlnm.Print_Area" localSheetId="18">Zachodniopomorski!$A$1:$F$66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fullPrecision="0"/>
</workbook>
</file>

<file path=xl/calcChain.xml><?xml version="1.0" encoding="utf-8"?>
<calcChain xmlns="http://schemas.openxmlformats.org/spreadsheetml/2006/main">
  <c r="C66" i="3" l="1"/>
  <c r="C65" i="3"/>
  <c r="C64" i="3"/>
  <c r="C63" i="3"/>
  <c r="C62" i="3"/>
  <c r="C60" i="3"/>
  <c r="C59" i="3"/>
  <c r="C58" i="3"/>
  <c r="C57" i="3"/>
  <c r="C56" i="3"/>
  <c r="C55" i="3"/>
  <c r="C54" i="3"/>
  <c r="C52" i="3"/>
  <c r="C51" i="3"/>
  <c r="C50" i="3"/>
  <c r="C49" i="3"/>
  <c r="C48" i="3"/>
  <c r="C47" i="3"/>
  <c r="C46" i="3"/>
  <c r="C45" i="3"/>
  <c r="C44" i="3"/>
  <c r="C42" i="3"/>
  <c r="C41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6" i="5"/>
  <c r="C65" i="5"/>
  <c r="C64" i="5"/>
  <c r="C63" i="5"/>
  <c r="C62" i="5"/>
  <c r="C60" i="5"/>
  <c r="C59" i="5"/>
  <c r="C58" i="5"/>
  <c r="C57" i="5"/>
  <c r="C56" i="5"/>
  <c r="C55" i="5"/>
  <c r="C54" i="5"/>
  <c r="C52" i="5"/>
  <c r="C51" i="5"/>
  <c r="C50" i="5"/>
  <c r="C49" i="5"/>
  <c r="C48" i="5"/>
  <c r="C47" i="5"/>
  <c r="C46" i="5"/>
  <c r="C45" i="5"/>
  <c r="C44" i="5"/>
  <c r="C42" i="5"/>
  <c r="C41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6" i="6"/>
  <c r="C65" i="6"/>
  <c r="C64" i="6"/>
  <c r="C63" i="6"/>
  <c r="C62" i="6"/>
  <c r="C60" i="6"/>
  <c r="C59" i="6"/>
  <c r="C58" i="6"/>
  <c r="C57" i="6"/>
  <c r="C56" i="6"/>
  <c r="C55" i="6"/>
  <c r="C54" i="6"/>
  <c r="C52" i="6"/>
  <c r="C51" i="6"/>
  <c r="C50" i="6"/>
  <c r="C49" i="6"/>
  <c r="C48" i="6"/>
  <c r="C47" i="6"/>
  <c r="C46" i="6"/>
  <c r="C45" i="6"/>
  <c r="C44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6" i="7"/>
  <c r="C65" i="7"/>
  <c r="C64" i="7"/>
  <c r="C63" i="7"/>
  <c r="C62" i="7"/>
  <c r="C60" i="7"/>
  <c r="C59" i="7"/>
  <c r="C58" i="7"/>
  <c r="C57" i="7"/>
  <c r="C56" i="7"/>
  <c r="C55" i="7"/>
  <c r="C54" i="7"/>
  <c r="C52" i="7"/>
  <c r="C51" i="7"/>
  <c r="C50" i="7"/>
  <c r="C49" i="7"/>
  <c r="C48" i="7"/>
  <c r="C47" i="7"/>
  <c r="C46" i="7"/>
  <c r="C45" i="7"/>
  <c r="C44" i="7"/>
  <c r="C42" i="7"/>
  <c r="C41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6" i="8"/>
  <c r="C65" i="8"/>
  <c r="C64" i="8"/>
  <c r="C63" i="8"/>
  <c r="C62" i="8"/>
  <c r="C60" i="8"/>
  <c r="C59" i="8"/>
  <c r="C58" i="8"/>
  <c r="C57" i="8"/>
  <c r="C56" i="8"/>
  <c r="C55" i="8"/>
  <c r="C54" i="8"/>
  <c r="C52" i="8"/>
  <c r="C51" i="8"/>
  <c r="C50" i="8"/>
  <c r="C49" i="8"/>
  <c r="C48" i="8"/>
  <c r="C47" i="8"/>
  <c r="C46" i="8"/>
  <c r="C45" i="8"/>
  <c r="C44" i="8"/>
  <c r="C42" i="8"/>
  <c r="C41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6" i="9"/>
  <c r="C65" i="9"/>
  <c r="C64" i="9"/>
  <c r="C63" i="9"/>
  <c r="C62" i="9"/>
  <c r="C60" i="9"/>
  <c r="C59" i="9"/>
  <c r="C58" i="9"/>
  <c r="C57" i="9"/>
  <c r="C56" i="9"/>
  <c r="C55" i="9"/>
  <c r="C54" i="9"/>
  <c r="C52" i="9"/>
  <c r="C51" i="9"/>
  <c r="C50" i="9"/>
  <c r="C49" i="9"/>
  <c r="C48" i="9"/>
  <c r="C47" i="9"/>
  <c r="C46" i="9"/>
  <c r="C45" i="9"/>
  <c r="C44" i="9"/>
  <c r="C42" i="9"/>
  <c r="C41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6" i="10"/>
  <c r="C65" i="10"/>
  <c r="C64" i="10"/>
  <c r="C63" i="10"/>
  <c r="C62" i="10"/>
  <c r="C60" i="10"/>
  <c r="C59" i="10"/>
  <c r="C58" i="10"/>
  <c r="C57" i="10"/>
  <c r="C56" i="10"/>
  <c r="C55" i="10"/>
  <c r="C54" i="10"/>
  <c r="C52" i="10"/>
  <c r="C51" i="10"/>
  <c r="C50" i="10"/>
  <c r="C49" i="10"/>
  <c r="C48" i="10"/>
  <c r="C47" i="10"/>
  <c r="C46" i="10"/>
  <c r="C45" i="10"/>
  <c r="C44" i="10"/>
  <c r="C42" i="10"/>
  <c r="C41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6" i="11"/>
  <c r="C65" i="11"/>
  <c r="C64" i="11"/>
  <c r="C63" i="11"/>
  <c r="C62" i="11"/>
  <c r="C60" i="11"/>
  <c r="C59" i="11"/>
  <c r="C58" i="11"/>
  <c r="C57" i="11"/>
  <c r="C56" i="11"/>
  <c r="C55" i="11"/>
  <c r="C54" i="11"/>
  <c r="C52" i="11"/>
  <c r="C51" i="11"/>
  <c r="C50" i="11"/>
  <c r="C49" i="11"/>
  <c r="C48" i="11"/>
  <c r="C47" i="11"/>
  <c r="C46" i="11"/>
  <c r="C45" i="11"/>
  <c r="C44" i="11"/>
  <c r="C42" i="11"/>
  <c r="C41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6" i="12"/>
  <c r="C65" i="12"/>
  <c r="C64" i="12"/>
  <c r="C63" i="12"/>
  <c r="C62" i="12"/>
  <c r="C60" i="12"/>
  <c r="C59" i="12"/>
  <c r="C58" i="12"/>
  <c r="C57" i="12"/>
  <c r="C56" i="12"/>
  <c r="C55" i="12"/>
  <c r="C54" i="12"/>
  <c r="C52" i="12"/>
  <c r="C51" i="12"/>
  <c r="C50" i="12"/>
  <c r="C49" i="12"/>
  <c r="C48" i="12"/>
  <c r="C47" i="12"/>
  <c r="C46" i="12"/>
  <c r="C45" i="12"/>
  <c r="C44" i="12"/>
  <c r="C42" i="12"/>
  <c r="C41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6" i="13"/>
  <c r="C65" i="13"/>
  <c r="C64" i="13"/>
  <c r="C63" i="13"/>
  <c r="C62" i="13"/>
  <c r="C60" i="13"/>
  <c r="C59" i="13"/>
  <c r="C58" i="13"/>
  <c r="C57" i="13"/>
  <c r="C56" i="13"/>
  <c r="C55" i="13"/>
  <c r="C54" i="13"/>
  <c r="C52" i="13"/>
  <c r="C51" i="13"/>
  <c r="C50" i="13"/>
  <c r="C49" i="13"/>
  <c r="C48" i="13"/>
  <c r="C47" i="13"/>
  <c r="C46" i="13"/>
  <c r="C45" i="13"/>
  <c r="C44" i="13"/>
  <c r="C42" i="13"/>
  <c r="C41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6" i="14"/>
  <c r="C65" i="14"/>
  <c r="C64" i="14"/>
  <c r="C63" i="14"/>
  <c r="C62" i="14"/>
  <c r="C60" i="14"/>
  <c r="C59" i="14"/>
  <c r="C58" i="14"/>
  <c r="C57" i="14"/>
  <c r="C56" i="14"/>
  <c r="C55" i="14"/>
  <c r="C54" i="14"/>
  <c r="C52" i="14"/>
  <c r="C51" i="14"/>
  <c r="C50" i="14"/>
  <c r="C49" i="14"/>
  <c r="C48" i="14"/>
  <c r="C47" i="14"/>
  <c r="C46" i="14"/>
  <c r="C45" i="14"/>
  <c r="C44" i="14"/>
  <c r="C42" i="14"/>
  <c r="C41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6" i="15"/>
  <c r="C65" i="15"/>
  <c r="C64" i="15"/>
  <c r="C63" i="15"/>
  <c r="C62" i="15"/>
  <c r="C60" i="15"/>
  <c r="C59" i="15"/>
  <c r="C58" i="15"/>
  <c r="C57" i="15"/>
  <c r="C56" i="15"/>
  <c r="C55" i="15"/>
  <c r="C54" i="15"/>
  <c r="C52" i="15"/>
  <c r="C51" i="15"/>
  <c r="C50" i="15"/>
  <c r="C49" i="15"/>
  <c r="C48" i="15"/>
  <c r="C47" i="15"/>
  <c r="C46" i="15"/>
  <c r="C45" i="15"/>
  <c r="C44" i="15"/>
  <c r="C42" i="15"/>
  <c r="C41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6" i="16"/>
  <c r="C65" i="16"/>
  <c r="C64" i="16"/>
  <c r="C63" i="16"/>
  <c r="C62" i="16"/>
  <c r="C60" i="16"/>
  <c r="C59" i="16"/>
  <c r="C58" i="16"/>
  <c r="C57" i="16"/>
  <c r="C56" i="16"/>
  <c r="C55" i="16"/>
  <c r="C54" i="16"/>
  <c r="C52" i="16"/>
  <c r="C51" i="16"/>
  <c r="C50" i="16"/>
  <c r="C49" i="16"/>
  <c r="C48" i="16"/>
  <c r="C47" i="16"/>
  <c r="C46" i="16"/>
  <c r="C45" i="16"/>
  <c r="C44" i="16"/>
  <c r="C42" i="16"/>
  <c r="C41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6" i="17"/>
  <c r="C65" i="17"/>
  <c r="C64" i="17"/>
  <c r="C63" i="17"/>
  <c r="C62" i="17"/>
  <c r="C60" i="17"/>
  <c r="C59" i="17"/>
  <c r="C58" i="17"/>
  <c r="C57" i="17"/>
  <c r="C56" i="17"/>
  <c r="C55" i="17"/>
  <c r="C54" i="17"/>
  <c r="C52" i="17"/>
  <c r="C51" i="17"/>
  <c r="C50" i="17"/>
  <c r="C49" i="17"/>
  <c r="C48" i="17"/>
  <c r="C47" i="17"/>
  <c r="C46" i="17"/>
  <c r="C45" i="17"/>
  <c r="C44" i="17"/>
  <c r="C42" i="17"/>
  <c r="C41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6" i="18"/>
  <c r="C65" i="18"/>
  <c r="C64" i="18"/>
  <c r="C63" i="18"/>
  <c r="C62" i="18"/>
  <c r="C60" i="18"/>
  <c r="C59" i="18"/>
  <c r="C58" i="18"/>
  <c r="C57" i="18"/>
  <c r="C56" i="18"/>
  <c r="C55" i="18"/>
  <c r="C54" i="18"/>
  <c r="C52" i="18"/>
  <c r="C51" i="18"/>
  <c r="C50" i="18"/>
  <c r="C49" i="18"/>
  <c r="C48" i="18"/>
  <c r="C47" i="18"/>
  <c r="C46" i="18"/>
  <c r="C45" i="18"/>
  <c r="C44" i="18"/>
  <c r="C42" i="18"/>
  <c r="C41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6" i="19"/>
  <c r="C65" i="19"/>
  <c r="C64" i="19"/>
  <c r="C63" i="19"/>
  <c r="C62" i="19"/>
  <c r="C60" i="19"/>
  <c r="C59" i="19"/>
  <c r="C58" i="19"/>
  <c r="C57" i="19"/>
  <c r="C56" i="19"/>
  <c r="C55" i="19"/>
  <c r="C54" i="19"/>
  <c r="C52" i="19"/>
  <c r="C51" i="19"/>
  <c r="C50" i="19"/>
  <c r="C49" i="19"/>
  <c r="C48" i="19"/>
  <c r="C47" i="19"/>
  <c r="C46" i="19"/>
  <c r="C45" i="19"/>
  <c r="C44" i="19"/>
  <c r="C42" i="19"/>
  <c r="C41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6" i="22"/>
  <c r="C65" i="22"/>
  <c r="C64" i="22"/>
  <c r="C63" i="22"/>
  <c r="C62" i="22"/>
  <c r="C60" i="22"/>
  <c r="C59" i="22"/>
  <c r="C58" i="22"/>
  <c r="C57" i="22"/>
  <c r="C56" i="22"/>
  <c r="C55" i="22"/>
  <c r="C54" i="22"/>
  <c r="C52" i="22"/>
  <c r="C51" i="22"/>
  <c r="C50" i="22"/>
  <c r="C49" i="22"/>
  <c r="C48" i="22"/>
  <c r="C47" i="22"/>
  <c r="C46" i="22"/>
  <c r="C45" i="22"/>
  <c r="C44" i="22"/>
  <c r="C42" i="22"/>
  <c r="C41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90" i="23"/>
  <c r="C89" i="23"/>
  <c r="C82" i="23"/>
  <c r="C25" i="23"/>
  <c r="C23" i="23"/>
  <c r="C22" i="23"/>
  <c r="C21" i="23"/>
  <c r="C20" i="23"/>
  <c r="C18" i="23"/>
  <c r="C17" i="23"/>
  <c r="C16" i="23"/>
  <c r="C14" i="23"/>
  <c r="C13" i="23"/>
  <c r="C11" i="23"/>
  <c r="C10" i="23"/>
  <c r="C8" i="23"/>
  <c r="C7" i="23"/>
  <c r="A1" i="19" l="1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3"/>
  <c r="A1" i="20"/>
  <c r="A1" i="22"/>
  <c r="D66" i="3" l="1"/>
  <c r="D65" i="3"/>
  <c r="D35" i="3"/>
  <c r="D23" i="3"/>
  <c r="D22" i="3"/>
  <c r="D14" i="3"/>
  <c r="D9" i="3"/>
  <c r="D8" i="3"/>
  <c r="D66" i="5"/>
  <c r="D65" i="5"/>
  <c r="D63" i="5"/>
  <c r="D35" i="5"/>
  <c r="D23" i="5"/>
  <c r="D9" i="5"/>
  <c r="D8" i="5"/>
  <c r="D66" i="6"/>
  <c r="D63" i="6"/>
  <c r="D35" i="6"/>
  <c r="D23" i="6"/>
  <c r="D9" i="6"/>
  <c r="D8" i="6"/>
  <c r="D66" i="7"/>
  <c r="D65" i="7"/>
  <c r="D63" i="7"/>
  <c r="D35" i="7"/>
  <c r="D23" i="7"/>
  <c r="D22" i="7"/>
  <c r="D10" i="7"/>
  <c r="D9" i="7"/>
  <c r="D8" i="7"/>
  <c r="D66" i="8"/>
  <c r="D65" i="8"/>
  <c r="D63" i="8"/>
  <c r="D62" i="8"/>
  <c r="D35" i="8"/>
  <c r="D23" i="8"/>
  <c r="D22" i="8"/>
  <c r="D9" i="8"/>
  <c r="D8" i="8"/>
  <c r="D66" i="9"/>
  <c r="D65" i="9"/>
  <c r="D63" i="9"/>
  <c r="D35" i="9"/>
  <c r="D23" i="9"/>
  <c r="D9" i="9"/>
  <c r="D8" i="9"/>
  <c r="D66" i="10"/>
  <c r="D65" i="10"/>
  <c r="D63" i="10"/>
  <c r="D35" i="10"/>
  <c r="D23" i="10"/>
  <c r="D9" i="10"/>
  <c r="D8" i="10"/>
  <c r="D66" i="11"/>
  <c r="D63" i="11"/>
  <c r="D35" i="11"/>
  <c r="D23" i="11"/>
  <c r="D9" i="11"/>
  <c r="D8" i="11"/>
  <c r="D66" i="12"/>
  <c r="D65" i="12"/>
  <c r="D63" i="12"/>
  <c r="D35" i="12"/>
  <c r="D23" i="12"/>
  <c r="D22" i="12"/>
  <c r="D14" i="12"/>
  <c r="D9" i="12"/>
  <c r="D8" i="12"/>
  <c r="D66" i="13"/>
  <c r="D65" i="13"/>
  <c r="D63" i="13"/>
  <c r="D35" i="13"/>
  <c r="D23" i="13"/>
  <c r="D9" i="13"/>
  <c r="D8" i="13"/>
  <c r="D66" i="14"/>
  <c r="D63" i="14"/>
  <c r="D35" i="14"/>
  <c r="D23" i="14"/>
  <c r="D22" i="14"/>
  <c r="D14" i="14"/>
  <c r="D9" i="14"/>
  <c r="D8" i="14"/>
  <c r="D65" i="15"/>
  <c r="D63" i="15"/>
  <c r="D35" i="15"/>
  <c r="D24" i="15"/>
  <c r="D23" i="15"/>
  <c r="D22" i="15"/>
  <c r="D9" i="15"/>
  <c r="D8" i="15"/>
  <c r="D66" i="16"/>
  <c r="D65" i="16"/>
  <c r="D63" i="16"/>
  <c r="D35" i="16"/>
  <c r="D23" i="16"/>
  <c r="D9" i="16"/>
  <c r="D8" i="16"/>
  <c r="D66" i="17"/>
  <c r="D63" i="17"/>
  <c r="D35" i="17"/>
  <c r="D23" i="17"/>
  <c r="D9" i="17"/>
  <c r="D8" i="17"/>
  <c r="D66" i="18"/>
  <c r="D65" i="18"/>
  <c r="D63" i="18"/>
  <c r="D35" i="18"/>
  <c r="D23" i="18"/>
  <c r="D9" i="18"/>
  <c r="D8" i="18"/>
  <c r="D66" i="19"/>
  <c r="D63" i="19"/>
  <c r="D35" i="19"/>
  <c r="D23" i="19"/>
  <c r="D22" i="19"/>
  <c r="D19" i="19"/>
  <c r="D17" i="19"/>
  <c r="D16" i="19"/>
  <c r="D15" i="19"/>
  <c r="D14" i="19"/>
  <c r="D9" i="19"/>
  <c r="D8" i="19"/>
  <c r="D66" i="22"/>
  <c r="H66" i="22" s="1"/>
  <c r="D65" i="22"/>
  <c r="H65" i="22" s="1"/>
  <c r="D64" i="22"/>
  <c r="D33" i="22"/>
  <c r="D90" i="23"/>
  <c r="D89" i="23"/>
  <c r="D82" i="23"/>
  <c r="D25" i="23"/>
  <c r="D17" i="23"/>
  <c r="D16" i="23"/>
  <c r="D8" i="23"/>
  <c r="D7" i="23"/>
  <c r="D37" i="6" l="1"/>
  <c r="D37" i="12"/>
  <c r="D37" i="19"/>
  <c r="D23" i="23" l="1"/>
  <c r="F35" i="14" l="1"/>
  <c r="F35" i="10"/>
  <c r="E35" i="6"/>
  <c r="E35" i="19"/>
  <c r="F35" i="6" l="1"/>
  <c r="F35" i="17"/>
  <c r="F35" i="8"/>
  <c r="F35" i="3"/>
  <c r="F35" i="12"/>
  <c r="E35" i="17"/>
  <c r="E35" i="10"/>
  <c r="E35" i="14"/>
  <c r="F35" i="15"/>
  <c r="E35" i="3"/>
  <c r="F35" i="19"/>
  <c r="E35" i="12" l="1"/>
  <c r="E35" i="8"/>
  <c r="E35" i="15"/>
  <c r="E35" i="13"/>
  <c r="F35" i="13"/>
  <c r="E35" i="5"/>
  <c r="F35" i="5"/>
  <c r="E35" i="11"/>
  <c r="F35" i="11"/>
  <c r="E35" i="16"/>
  <c r="F35" i="16"/>
  <c r="E35" i="9"/>
  <c r="F35" i="9"/>
  <c r="E35" i="7"/>
  <c r="F35" i="7"/>
  <c r="E35" i="18"/>
  <c r="F35" i="18"/>
  <c r="C35" i="20"/>
  <c r="C55" i="23" s="1"/>
  <c r="F35" i="22" l="1"/>
  <c r="D35" i="20"/>
  <c r="E35" i="20" s="1"/>
  <c r="D35" i="22"/>
  <c r="F35" i="20" l="1"/>
  <c r="D55" i="23"/>
  <c r="F55" i="23" s="1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E55" i="23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4" i="17"/>
  <c r="D25" i="17"/>
  <c r="D26" i="17"/>
  <c r="D27" i="17"/>
  <c r="D28" i="17"/>
  <c r="D29" i="17"/>
  <c r="D30" i="17"/>
  <c r="D31" i="17"/>
  <c r="D32" i="17"/>
  <c r="D33" i="17"/>
  <c r="D34" i="17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4" i="16"/>
  <c r="D25" i="16"/>
  <c r="D26" i="16"/>
  <c r="D27" i="16"/>
  <c r="D28" i="16"/>
  <c r="D29" i="16"/>
  <c r="D30" i="16"/>
  <c r="D31" i="16"/>
  <c r="D32" i="16"/>
  <c r="D33" i="16"/>
  <c r="D34" i="16"/>
  <c r="D10" i="15"/>
  <c r="D11" i="15"/>
  <c r="D12" i="15"/>
  <c r="D13" i="15"/>
  <c r="D14" i="15"/>
  <c r="D15" i="15"/>
  <c r="D16" i="15"/>
  <c r="D17" i="15"/>
  <c r="D18" i="15"/>
  <c r="D19" i="15"/>
  <c r="D20" i="15"/>
  <c r="D21" i="15"/>
  <c r="D25" i="15"/>
  <c r="D26" i="15"/>
  <c r="D27" i="15"/>
  <c r="D28" i="15"/>
  <c r="D29" i="15"/>
  <c r="D30" i="15"/>
  <c r="D31" i="15"/>
  <c r="D32" i="15"/>
  <c r="D33" i="15"/>
  <c r="D34" i="15"/>
  <c r="D10" i="14"/>
  <c r="D11" i="14"/>
  <c r="D12" i="14"/>
  <c r="D13" i="14"/>
  <c r="D15" i="14"/>
  <c r="D16" i="14"/>
  <c r="D17" i="14"/>
  <c r="D18" i="14"/>
  <c r="D19" i="14"/>
  <c r="D20" i="14"/>
  <c r="D21" i="14"/>
  <c r="D24" i="14"/>
  <c r="D25" i="14"/>
  <c r="D26" i="14"/>
  <c r="D27" i="14"/>
  <c r="D28" i="14"/>
  <c r="D29" i="14"/>
  <c r="D30" i="14"/>
  <c r="D31" i="14"/>
  <c r="D32" i="14"/>
  <c r="D33" i="14"/>
  <c r="D34" i="14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4" i="13"/>
  <c r="D25" i="13"/>
  <c r="D26" i="13"/>
  <c r="D27" i="13"/>
  <c r="D28" i="13"/>
  <c r="D29" i="13"/>
  <c r="D30" i="13"/>
  <c r="D31" i="13"/>
  <c r="D32" i="13"/>
  <c r="D33" i="13"/>
  <c r="D34" i="13"/>
  <c r="D10" i="12"/>
  <c r="D11" i="12"/>
  <c r="D12" i="12"/>
  <c r="D13" i="12"/>
  <c r="D15" i="12"/>
  <c r="D16" i="12"/>
  <c r="D17" i="12"/>
  <c r="D18" i="12"/>
  <c r="D19" i="12"/>
  <c r="D20" i="12"/>
  <c r="D21" i="12"/>
  <c r="D24" i="12"/>
  <c r="D25" i="12"/>
  <c r="D26" i="12"/>
  <c r="D27" i="12"/>
  <c r="D28" i="12"/>
  <c r="D29" i="12"/>
  <c r="D30" i="12"/>
  <c r="D31" i="12"/>
  <c r="D32" i="12"/>
  <c r="D33" i="12"/>
  <c r="D34" i="12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4" i="11"/>
  <c r="D25" i="11"/>
  <c r="D26" i="11"/>
  <c r="D27" i="11"/>
  <c r="D28" i="11"/>
  <c r="D29" i="11"/>
  <c r="D30" i="11"/>
  <c r="D31" i="11"/>
  <c r="D32" i="11"/>
  <c r="D33" i="11"/>
  <c r="D34" i="11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4" i="10"/>
  <c r="D25" i="10"/>
  <c r="D26" i="10"/>
  <c r="D27" i="10"/>
  <c r="D28" i="10"/>
  <c r="D29" i="10"/>
  <c r="D30" i="10"/>
  <c r="D31" i="10"/>
  <c r="D32" i="10"/>
  <c r="D33" i="10"/>
  <c r="D34" i="10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4" i="9"/>
  <c r="D25" i="9"/>
  <c r="D26" i="9"/>
  <c r="D27" i="9"/>
  <c r="D28" i="9"/>
  <c r="D29" i="9"/>
  <c r="D30" i="9"/>
  <c r="D31" i="9"/>
  <c r="D32" i="9"/>
  <c r="D33" i="9"/>
  <c r="D34" i="9"/>
  <c r="D10" i="8"/>
  <c r="D11" i="8"/>
  <c r="D12" i="8"/>
  <c r="D13" i="8"/>
  <c r="D14" i="8"/>
  <c r="D15" i="8"/>
  <c r="D16" i="8"/>
  <c r="D17" i="8"/>
  <c r="D18" i="8"/>
  <c r="D19" i="8"/>
  <c r="D20" i="8"/>
  <c r="D21" i="8"/>
  <c r="D24" i="8"/>
  <c r="D25" i="8"/>
  <c r="D26" i="8"/>
  <c r="D27" i="8"/>
  <c r="D28" i="8"/>
  <c r="D29" i="8"/>
  <c r="D30" i="8"/>
  <c r="D31" i="8"/>
  <c r="D32" i="8"/>
  <c r="D33" i="8"/>
  <c r="D34" i="8"/>
  <c r="D11" i="7"/>
  <c r="D12" i="7"/>
  <c r="D13" i="7"/>
  <c r="D14" i="7"/>
  <c r="D15" i="7"/>
  <c r="D16" i="7"/>
  <c r="D17" i="7"/>
  <c r="D18" i="7"/>
  <c r="D19" i="7"/>
  <c r="D20" i="7"/>
  <c r="D21" i="7"/>
  <c r="D24" i="7"/>
  <c r="D25" i="7"/>
  <c r="D26" i="7"/>
  <c r="D27" i="7"/>
  <c r="D28" i="7"/>
  <c r="D29" i="7"/>
  <c r="D30" i="7"/>
  <c r="D31" i="7"/>
  <c r="D32" i="7"/>
  <c r="D33" i="7"/>
  <c r="D34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4" i="6"/>
  <c r="D25" i="6"/>
  <c r="D26" i="6"/>
  <c r="D27" i="6"/>
  <c r="D28" i="6"/>
  <c r="D29" i="6"/>
  <c r="D30" i="6"/>
  <c r="D31" i="6"/>
  <c r="D32" i="6"/>
  <c r="D33" i="6"/>
  <c r="D34" i="6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4" i="5"/>
  <c r="D25" i="5"/>
  <c r="D26" i="5"/>
  <c r="D27" i="5"/>
  <c r="D28" i="5"/>
  <c r="D29" i="5"/>
  <c r="D30" i="5"/>
  <c r="D31" i="5"/>
  <c r="D32" i="5"/>
  <c r="D33" i="5"/>
  <c r="D34" i="5"/>
  <c r="D10" i="3"/>
  <c r="D11" i="3"/>
  <c r="D12" i="3"/>
  <c r="D13" i="3"/>
  <c r="D15" i="3"/>
  <c r="D16" i="3"/>
  <c r="D17" i="3"/>
  <c r="D18" i="3"/>
  <c r="D19" i="3"/>
  <c r="D20" i="3"/>
  <c r="D21" i="3"/>
  <c r="D24" i="3"/>
  <c r="D25" i="3"/>
  <c r="D26" i="3"/>
  <c r="D27" i="3"/>
  <c r="D28" i="3"/>
  <c r="D29" i="3"/>
  <c r="D30" i="3"/>
  <c r="D31" i="3"/>
  <c r="D32" i="3"/>
  <c r="D33" i="3"/>
  <c r="D34" i="3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4" i="18"/>
  <c r="D25" i="18"/>
  <c r="D26" i="18"/>
  <c r="D27" i="18"/>
  <c r="D28" i="18"/>
  <c r="D29" i="18"/>
  <c r="D30" i="18"/>
  <c r="D31" i="18"/>
  <c r="D32" i="18"/>
  <c r="D33" i="18"/>
  <c r="D34" i="18"/>
  <c r="D10" i="19"/>
  <c r="D11" i="19"/>
  <c r="D12" i="19"/>
  <c r="D13" i="19"/>
  <c r="D18" i="19"/>
  <c r="D20" i="19"/>
  <c r="D21" i="19"/>
  <c r="D24" i="19"/>
  <c r="D25" i="19"/>
  <c r="D26" i="19"/>
  <c r="D27" i="19"/>
  <c r="D28" i="19"/>
  <c r="D29" i="19"/>
  <c r="D30" i="19"/>
  <c r="D31" i="19"/>
  <c r="D32" i="19"/>
  <c r="D33" i="19"/>
  <c r="D34" i="19"/>
  <c r="D7" i="18" l="1"/>
  <c r="D6" i="18" s="1"/>
  <c r="D7" i="17"/>
  <c r="D6" i="17" s="1"/>
  <c r="D7" i="16"/>
  <c r="D6" i="16" s="1"/>
  <c r="D7" i="15"/>
  <c r="D6" i="15" s="1"/>
  <c r="D7" i="14"/>
  <c r="D6" i="14" s="1"/>
  <c r="D7" i="13"/>
  <c r="D6" i="13" s="1"/>
  <c r="D7" i="12"/>
  <c r="D6" i="12" s="1"/>
  <c r="D7" i="11"/>
  <c r="D6" i="11" s="1"/>
  <c r="D7" i="10"/>
  <c r="D6" i="10" s="1"/>
  <c r="D7" i="9"/>
  <c r="D6" i="9" s="1"/>
  <c r="D7" i="8"/>
  <c r="D6" i="8" s="1"/>
  <c r="D7" i="7"/>
  <c r="D6" i="7" s="1"/>
  <c r="D7" i="6"/>
  <c r="D6" i="6" s="1"/>
  <c r="D7" i="5"/>
  <c r="D6" i="5" s="1"/>
  <c r="D7" i="3"/>
  <c r="D6" i="3" s="1"/>
  <c r="D7" i="19"/>
  <c r="D6" i="19" s="1"/>
  <c r="D37" i="8" l="1"/>
  <c r="D37" i="13"/>
  <c r="D37" i="15"/>
  <c r="D37" i="18"/>
  <c r="D23" i="22"/>
  <c r="D23" i="20" l="1"/>
  <c r="D22" i="23"/>
  <c r="D60" i="3"/>
  <c r="D57" i="3"/>
  <c r="D56" i="3"/>
  <c r="D52" i="3"/>
  <c r="D48" i="3"/>
  <c r="D44" i="3"/>
  <c r="D42" i="3"/>
  <c r="D37" i="3"/>
  <c r="D36" i="3"/>
  <c r="D64" i="5"/>
  <c r="D62" i="5"/>
  <c r="D58" i="5"/>
  <c r="D57" i="5"/>
  <c r="D55" i="5"/>
  <c r="D52" i="5"/>
  <c r="D50" i="5"/>
  <c r="D49" i="5"/>
  <c r="D48" i="5"/>
  <c r="D44" i="5"/>
  <c r="D37" i="5"/>
  <c r="D65" i="6"/>
  <c r="D60" i="6"/>
  <c r="D56" i="6"/>
  <c r="D52" i="6"/>
  <c r="D48" i="6"/>
  <c r="D47" i="6"/>
  <c r="D44" i="6"/>
  <c r="D42" i="6"/>
  <c r="C39" i="6"/>
  <c r="D62" i="7"/>
  <c r="D59" i="7"/>
  <c r="D57" i="7"/>
  <c r="D55" i="7"/>
  <c r="D54" i="7"/>
  <c r="D52" i="7"/>
  <c r="D49" i="7"/>
  <c r="D48" i="7"/>
  <c r="D45" i="7"/>
  <c r="D44" i="7"/>
  <c r="D41" i="7"/>
  <c r="D37" i="7"/>
  <c r="D60" i="8"/>
  <c r="D57" i="8"/>
  <c r="D52" i="8"/>
  <c r="D51" i="8"/>
  <c r="D48" i="8"/>
  <c r="D47" i="8"/>
  <c r="D44" i="8"/>
  <c r="D42" i="8"/>
  <c r="D36" i="8"/>
  <c r="D64" i="9"/>
  <c r="D59" i="9"/>
  <c r="D55" i="9"/>
  <c r="D50" i="9"/>
  <c r="D49" i="9"/>
  <c r="D45" i="9"/>
  <c r="D41" i="9"/>
  <c r="D38" i="9"/>
  <c r="D60" i="10"/>
  <c r="D58" i="10"/>
  <c r="D57" i="10"/>
  <c r="D56" i="10"/>
  <c r="D54" i="10"/>
  <c r="D51" i="10"/>
  <c r="D45" i="10"/>
  <c r="D44" i="10"/>
  <c r="D38" i="10"/>
  <c r="D36" i="10"/>
  <c r="D64" i="11"/>
  <c r="D62" i="11"/>
  <c r="D59" i="11"/>
  <c r="D58" i="11"/>
  <c r="D55" i="11"/>
  <c r="D54" i="11"/>
  <c r="D52" i="11"/>
  <c r="D50" i="11"/>
  <c r="D49" i="11"/>
  <c r="D48" i="11"/>
  <c r="D45" i="11"/>
  <c r="D44" i="11"/>
  <c r="D38" i="11"/>
  <c r="D62" i="12"/>
  <c r="D60" i="12"/>
  <c r="D57" i="12"/>
  <c r="D56" i="12"/>
  <c r="D52" i="12"/>
  <c r="D51" i="12"/>
  <c r="D48" i="12"/>
  <c r="D47" i="12"/>
  <c r="D44" i="12"/>
  <c r="D42" i="12"/>
  <c r="D36" i="12"/>
  <c r="D58" i="13"/>
  <c r="D57" i="13"/>
  <c r="D55" i="13"/>
  <c r="D50" i="13"/>
  <c r="D49" i="13"/>
  <c r="D46" i="13"/>
  <c r="D45" i="13"/>
  <c r="D38" i="13"/>
  <c r="D65" i="14"/>
  <c r="D60" i="14"/>
  <c r="D57" i="14"/>
  <c r="D56" i="14"/>
  <c r="D52" i="14"/>
  <c r="D51" i="14"/>
  <c r="D48" i="14"/>
  <c r="D47" i="14"/>
  <c r="D62" i="15"/>
  <c r="D59" i="15"/>
  <c r="D58" i="15"/>
  <c r="D57" i="15"/>
  <c r="D54" i="15"/>
  <c r="D49" i="15"/>
  <c r="D45" i="15"/>
  <c r="D41" i="15"/>
  <c r="D38" i="15"/>
  <c r="D64" i="16"/>
  <c r="D62" i="16"/>
  <c r="D60" i="16"/>
  <c r="D59" i="16"/>
  <c r="D57" i="16"/>
  <c r="D56" i="16"/>
  <c r="D55" i="16"/>
  <c r="D42" i="16"/>
  <c r="D36" i="16"/>
  <c r="E36" i="16" s="1"/>
  <c r="D64" i="17"/>
  <c r="D59" i="17"/>
  <c r="D58" i="17"/>
  <c r="D57" i="17"/>
  <c r="D55" i="17"/>
  <c r="D52" i="17"/>
  <c r="D50" i="17"/>
  <c r="D49" i="17"/>
  <c r="D48" i="17"/>
  <c r="D45" i="17"/>
  <c r="D44" i="17"/>
  <c r="D41" i="17"/>
  <c r="D38" i="17"/>
  <c r="D37" i="17"/>
  <c r="D36" i="17"/>
  <c r="E36" i="17" s="1"/>
  <c r="D60" i="18"/>
  <c r="D59" i="18"/>
  <c r="D50" i="18"/>
  <c r="D48" i="18"/>
  <c r="D47" i="18"/>
  <c r="D46" i="18"/>
  <c r="D42" i="18"/>
  <c r="D41" i="18"/>
  <c r="C39" i="18"/>
  <c r="D59" i="22"/>
  <c r="D55" i="22"/>
  <c r="D54" i="22"/>
  <c r="D41" i="22"/>
  <c r="D38" i="22"/>
  <c r="D34" i="22"/>
  <c r="D30" i="22"/>
  <c r="D29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2" i="22"/>
  <c r="D60" i="22"/>
  <c r="D58" i="22"/>
  <c r="D57" i="22"/>
  <c r="D56" i="22"/>
  <c r="C53" i="22"/>
  <c r="D52" i="22"/>
  <c r="D51" i="22"/>
  <c r="D50" i="22"/>
  <c r="D49" i="22"/>
  <c r="D48" i="22"/>
  <c r="D47" i="22"/>
  <c r="D46" i="22"/>
  <c r="D45" i="22"/>
  <c r="D42" i="22"/>
  <c r="D37" i="22"/>
  <c r="D36" i="22"/>
  <c r="D32" i="22"/>
  <c r="D31" i="22"/>
  <c r="D28" i="22"/>
  <c r="D27" i="22"/>
  <c r="D18" i="22"/>
  <c r="D16" i="22"/>
  <c r="D8" i="22"/>
  <c r="D65" i="17"/>
  <c r="D62" i="17"/>
  <c r="D60" i="17"/>
  <c r="D56" i="17"/>
  <c r="D54" i="17"/>
  <c r="D51" i="17"/>
  <c r="D47" i="17"/>
  <c r="D46" i="17"/>
  <c r="D42" i="17"/>
  <c r="D58" i="16"/>
  <c r="D54" i="16"/>
  <c r="D52" i="16"/>
  <c r="D51" i="16"/>
  <c r="D50" i="16"/>
  <c r="D49" i="16"/>
  <c r="D48" i="16"/>
  <c r="D47" i="16"/>
  <c r="D46" i="16"/>
  <c r="D45" i="16"/>
  <c r="D38" i="16"/>
  <c r="D37" i="16"/>
  <c r="D66" i="15"/>
  <c r="D60" i="15"/>
  <c r="D56" i="15"/>
  <c r="D55" i="15"/>
  <c r="D52" i="15"/>
  <c r="D51" i="15"/>
  <c r="D50" i="15"/>
  <c r="D48" i="15"/>
  <c r="D47" i="15"/>
  <c r="D46" i="15"/>
  <c r="D44" i="15"/>
  <c r="D42" i="15"/>
  <c r="D36" i="15"/>
  <c r="D64" i="14"/>
  <c r="D59" i="14"/>
  <c r="D58" i="14"/>
  <c r="D55" i="14"/>
  <c r="D50" i="14"/>
  <c r="D49" i="14"/>
  <c r="D46" i="14"/>
  <c r="D45" i="14"/>
  <c r="D42" i="14"/>
  <c r="D41" i="14"/>
  <c r="D38" i="14"/>
  <c r="D37" i="14"/>
  <c r="D36" i="14"/>
  <c r="D64" i="13"/>
  <c r="D60" i="13"/>
  <c r="D59" i="13"/>
  <c r="D56" i="13"/>
  <c r="D52" i="13"/>
  <c r="D51" i="13"/>
  <c r="D48" i="13"/>
  <c r="D47" i="13"/>
  <c r="D42" i="13"/>
  <c r="D41" i="13"/>
  <c r="D36" i="13"/>
  <c r="D64" i="12"/>
  <c r="D59" i="12"/>
  <c r="D58" i="12"/>
  <c r="D55" i="12"/>
  <c r="D54" i="12"/>
  <c r="D50" i="12"/>
  <c r="D46" i="12"/>
  <c r="D45" i="12"/>
  <c r="D38" i="12"/>
  <c r="D65" i="11"/>
  <c r="C61" i="11"/>
  <c r="D60" i="11"/>
  <c r="D57" i="11"/>
  <c r="D56" i="11"/>
  <c r="C53" i="11"/>
  <c r="D51" i="11"/>
  <c r="D47" i="11"/>
  <c r="D46" i="11"/>
  <c r="D42" i="11"/>
  <c r="D37" i="11"/>
  <c r="D36" i="11"/>
  <c r="D64" i="10"/>
  <c r="D62" i="10"/>
  <c r="D59" i="10"/>
  <c r="D55" i="10"/>
  <c r="C53" i="10"/>
  <c r="D52" i="10"/>
  <c r="D50" i="10"/>
  <c r="D48" i="10"/>
  <c r="D47" i="10"/>
  <c r="D46" i="10"/>
  <c r="D41" i="10"/>
  <c r="D37" i="10"/>
  <c r="D60" i="9"/>
  <c r="D58" i="9"/>
  <c r="D57" i="9"/>
  <c r="D56" i="9"/>
  <c r="D52" i="9"/>
  <c r="D51" i="9"/>
  <c r="D48" i="9"/>
  <c r="D47" i="9"/>
  <c r="D46" i="9"/>
  <c r="D42" i="9"/>
  <c r="D37" i="9"/>
  <c r="D36" i="9"/>
  <c r="D64" i="8"/>
  <c r="D59" i="8"/>
  <c r="D58" i="8"/>
  <c r="D55" i="8"/>
  <c r="D54" i="8"/>
  <c r="D50" i="8"/>
  <c r="D49" i="8"/>
  <c r="D46" i="8"/>
  <c r="D45" i="8"/>
  <c r="D41" i="8"/>
  <c r="D38" i="8"/>
  <c r="D64" i="7"/>
  <c r="D60" i="7"/>
  <c r="D58" i="7"/>
  <c r="D56" i="7"/>
  <c r="D51" i="7"/>
  <c r="D50" i="7"/>
  <c r="D47" i="7"/>
  <c r="D46" i="7"/>
  <c r="D42" i="7"/>
  <c r="D38" i="7"/>
  <c r="D36" i="7"/>
  <c r="D64" i="6"/>
  <c r="C61" i="6"/>
  <c r="D59" i="6"/>
  <c r="D58" i="6"/>
  <c r="D57" i="6"/>
  <c r="D55" i="6"/>
  <c r="D51" i="6"/>
  <c r="D50" i="6"/>
  <c r="D49" i="6"/>
  <c r="D46" i="6"/>
  <c r="D45" i="6"/>
  <c r="D41" i="6"/>
  <c r="D38" i="6"/>
  <c r="D36" i="6"/>
  <c r="E36" i="6" s="1"/>
  <c r="D60" i="5"/>
  <c r="D59" i="5"/>
  <c r="D56" i="5"/>
  <c r="D54" i="5"/>
  <c r="D51" i="5"/>
  <c r="D47" i="5"/>
  <c r="D46" i="5"/>
  <c r="D45" i="5"/>
  <c r="D42" i="5"/>
  <c r="D41" i="5"/>
  <c r="D38" i="5"/>
  <c r="D36" i="5"/>
  <c r="D64" i="3"/>
  <c r="D63" i="3"/>
  <c r="D59" i="3"/>
  <c r="D58" i="3"/>
  <c r="D55" i="3"/>
  <c r="C53" i="3"/>
  <c r="D51" i="3"/>
  <c r="D50" i="3"/>
  <c r="D49" i="3"/>
  <c r="D47" i="3"/>
  <c r="D46" i="3"/>
  <c r="D45" i="3"/>
  <c r="D41" i="3"/>
  <c r="D38" i="3"/>
  <c r="D64" i="18"/>
  <c r="D62" i="18"/>
  <c r="D58" i="18"/>
  <c r="D57" i="18"/>
  <c r="D56" i="18"/>
  <c r="D54" i="18"/>
  <c r="D52" i="18"/>
  <c r="D51" i="18"/>
  <c r="D49" i="18"/>
  <c r="D45" i="18"/>
  <c r="D44" i="18"/>
  <c r="D38" i="18"/>
  <c r="D36" i="18"/>
  <c r="E36" i="18" s="1"/>
  <c r="D38" i="19"/>
  <c r="C34" i="20"/>
  <c r="E36" i="12" l="1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3" i="22"/>
  <c r="D61" i="22" s="1"/>
  <c r="C61" i="22"/>
  <c r="C53" i="8"/>
  <c r="D56" i="8"/>
  <c r="D53" i="8" s="1"/>
  <c r="C61" i="10"/>
  <c r="C39" i="8"/>
  <c r="D43" i="8"/>
  <c r="D43" i="6"/>
  <c r="C43" i="22"/>
  <c r="C40" i="22" s="1"/>
  <c r="D39" i="13"/>
  <c r="C53" i="6"/>
  <c r="C39" i="3"/>
  <c r="C61" i="3"/>
  <c r="C53" i="18"/>
  <c r="C61" i="18"/>
  <c r="C39" i="17"/>
  <c r="C61" i="17"/>
  <c r="C43" i="5"/>
  <c r="C43" i="7"/>
  <c r="D39" i="7"/>
  <c r="C39" i="9"/>
  <c r="C53" i="15"/>
  <c r="D53" i="15"/>
  <c r="D53" i="16"/>
  <c r="C53" i="16"/>
  <c r="D61" i="16"/>
  <c r="D53" i="17"/>
  <c r="C43" i="18"/>
  <c r="D55" i="18"/>
  <c r="D53" i="18" s="1"/>
  <c r="D24" i="22"/>
  <c r="D39" i="22" s="1"/>
  <c r="D53" i="22"/>
  <c r="D7" i="22"/>
  <c r="C39" i="22"/>
  <c r="D44" i="22"/>
  <c r="D43" i="22" s="1"/>
  <c r="D43" i="18"/>
  <c r="D43" i="3"/>
  <c r="D61" i="18"/>
  <c r="C43" i="3"/>
  <c r="D43" i="7"/>
  <c r="C43" i="8"/>
  <c r="D54" i="3"/>
  <c r="D53" i="3" s="1"/>
  <c r="D62" i="3"/>
  <c r="D61" i="3" s="1"/>
  <c r="C61" i="5"/>
  <c r="C53" i="7"/>
  <c r="C61" i="7"/>
  <c r="C43" i="9"/>
  <c r="D49" i="10"/>
  <c r="D43" i="10" s="1"/>
  <c r="C43" i="10"/>
  <c r="C39" i="5"/>
  <c r="D43" i="5"/>
  <c r="C43" i="6"/>
  <c r="C39" i="7"/>
  <c r="C53" i="9"/>
  <c r="D54" i="9"/>
  <c r="D53" i="9" s="1"/>
  <c r="C53" i="5"/>
  <c r="D54" i="6"/>
  <c r="D53" i="6" s="1"/>
  <c r="D62" i="6"/>
  <c r="D61" i="6" s="1"/>
  <c r="C61" i="8"/>
  <c r="D44" i="9"/>
  <c r="D43" i="9" s="1"/>
  <c r="C61" i="9"/>
  <c r="D62" i="9"/>
  <c r="D61" i="9" s="1"/>
  <c r="D41" i="11"/>
  <c r="D49" i="12"/>
  <c r="D43" i="12" s="1"/>
  <c r="C43" i="12"/>
  <c r="C43" i="14"/>
  <c r="D44" i="14"/>
  <c r="D43" i="14" s="1"/>
  <c r="C39" i="15"/>
  <c r="D53" i="5"/>
  <c r="D61" i="5"/>
  <c r="D53" i="7"/>
  <c r="D61" i="7"/>
  <c r="D61" i="8"/>
  <c r="C39" i="10"/>
  <c r="D42" i="10"/>
  <c r="D39" i="11"/>
  <c r="D43" i="11"/>
  <c r="D41" i="12"/>
  <c r="D53" i="10"/>
  <c r="D61" i="10"/>
  <c r="D53" i="11"/>
  <c r="D61" i="11"/>
  <c r="D53" i="12"/>
  <c r="D61" i="12"/>
  <c r="C61" i="13"/>
  <c r="D62" i="13"/>
  <c r="D61" i="13" s="1"/>
  <c r="C39" i="11"/>
  <c r="C43" i="11"/>
  <c r="C39" i="12"/>
  <c r="C53" i="12"/>
  <c r="C61" i="12"/>
  <c r="D64" i="15"/>
  <c r="D61" i="15" s="1"/>
  <c r="C61" i="15"/>
  <c r="C43" i="13"/>
  <c r="D44" i="13"/>
  <c r="D43" i="13" s="1"/>
  <c r="C61" i="14"/>
  <c r="D62" i="14"/>
  <c r="D61" i="14" s="1"/>
  <c r="D41" i="16"/>
  <c r="C53" i="17"/>
  <c r="C53" i="13"/>
  <c r="D54" i="13"/>
  <c r="D53" i="13" s="1"/>
  <c r="C53" i="14"/>
  <c r="D54" i="14"/>
  <c r="D53" i="14" s="1"/>
  <c r="C39" i="16"/>
  <c r="C43" i="16"/>
  <c r="D44" i="16"/>
  <c r="D43" i="16" s="1"/>
  <c r="C61" i="16"/>
  <c r="D61" i="17"/>
  <c r="C39" i="13"/>
  <c r="C39" i="14"/>
  <c r="C43" i="15"/>
  <c r="C43" i="17"/>
  <c r="D43" i="15"/>
  <c r="D43" i="17"/>
  <c r="D40" i="22" l="1"/>
  <c r="D6" i="22"/>
  <c r="C40" i="11"/>
  <c r="C40" i="10"/>
  <c r="C40" i="3"/>
  <c r="C40" i="13"/>
  <c r="D40" i="17"/>
  <c r="D39" i="5"/>
  <c r="C40" i="17"/>
  <c r="D39" i="12"/>
  <c r="D40" i="6"/>
  <c r="C40" i="6"/>
  <c r="D39" i="9"/>
  <c r="D39" i="15"/>
  <c r="D40" i="14"/>
  <c r="D40" i="8"/>
  <c r="D40" i="15"/>
  <c r="D39" i="16"/>
  <c r="D40" i="7"/>
  <c r="D39" i="14"/>
  <c r="D40" i="13"/>
  <c r="C40" i="16"/>
  <c r="C40" i="12"/>
  <c r="C40" i="8"/>
  <c r="C40" i="18"/>
  <c r="C40" i="7"/>
  <c r="D39" i="17"/>
  <c r="D40" i="9"/>
  <c r="D39" i="6"/>
  <c r="C40" i="5"/>
  <c r="D39" i="3"/>
  <c r="D40" i="5"/>
  <c r="C40" i="9"/>
  <c r="D39" i="10"/>
  <c r="D40" i="10"/>
  <c r="C40" i="15"/>
  <c r="D39" i="18"/>
  <c r="D40" i="18"/>
  <c r="D40" i="11"/>
  <c r="D40" i="3"/>
  <c r="D40" i="16"/>
  <c r="D40" i="12"/>
  <c r="C40" i="14"/>
  <c r="D39" i="8"/>
  <c r="C38" i="20" l="1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D58" i="23" s="1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E58" i="23" l="1"/>
  <c r="F58" i="23"/>
  <c r="F38" i="20"/>
  <c r="E38" i="20"/>
  <c r="D34" i="20"/>
  <c r="F25" i="13"/>
  <c r="F14" i="12"/>
  <c r="E10" i="17"/>
  <c r="E10" i="13"/>
  <c r="E14" i="9"/>
  <c r="E12" i="19"/>
  <c r="E59" i="8"/>
  <c r="F23" i="23"/>
  <c r="F37" i="10"/>
  <c r="F82" i="23"/>
  <c r="E54" i="22"/>
  <c r="E42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E37" i="19"/>
  <c r="E59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3" i="19"/>
  <c r="C43" i="19"/>
  <c r="F42" i="18"/>
  <c r="E45" i="18"/>
  <c r="F50" i="18"/>
  <c r="E52" i="18"/>
  <c r="F55" i="18"/>
  <c r="E60" i="18"/>
  <c r="F42" i="17"/>
  <c r="E44" i="17"/>
  <c r="E45" i="17"/>
  <c r="E49" i="17"/>
  <c r="F54" i="17"/>
  <c r="E58" i="17"/>
  <c r="F59" i="17"/>
  <c r="F60" i="17"/>
  <c r="E42" i="16"/>
  <c r="E45" i="16"/>
  <c r="E47" i="16"/>
  <c r="E50" i="16"/>
  <c r="F52" i="16"/>
  <c r="E54" i="16"/>
  <c r="E57" i="16"/>
  <c r="F42" i="15"/>
  <c r="E46" i="15"/>
  <c r="E48" i="15"/>
  <c r="F50" i="15"/>
  <c r="E52" i="15"/>
  <c r="E54" i="15"/>
  <c r="F55" i="15"/>
  <c r="E58" i="15"/>
  <c r="E60" i="15"/>
  <c r="F44" i="14"/>
  <c r="E47" i="14"/>
  <c r="E51" i="14"/>
  <c r="E54" i="14"/>
  <c r="E55" i="14"/>
  <c r="E58" i="14"/>
  <c r="E59" i="14"/>
  <c r="E44" i="13"/>
  <c r="F45" i="13"/>
  <c r="F49" i="13"/>
  <c r="F50" i="13"/>
  <c r="E51" i="13"/>
  <c r="E52" i="13"/>
  <c r="E54" i="13"/>
  <c r="F55" i="13"/>
  <c r="E57" i="13"/>
  <c r="F60" i="13"/>
  <c r="E44" i="12"/>
  <c r="F45" i="12"/>
  <c r="E46" i="12"/>
  <c r="E47" i="12"/>
  <c r="F49" i="12"/>
  <c r="F54" i="12"/>
  <c r="F57" i="12"/>
  <c r="E58" i="12"/>
  <c r="E59" i="12"/>
  <c r="F44" i="11"/>
  <c r="E46" i="11"/>
  <c r="E48" i="11"/>
  <c r="F49" i="11"/>
  <c r="E52" i="11"/>
  <c r="E54" i="11"/>
  <c r="E56" i="11"/>
  <c r="F59" i="11"/>
  <c r="F42" i="10"/>
  <c r="F45" i="10"/>
  <c r="F46" i="10"/>
  <c r="F47" i="10"/>
  <c r="E49" i="10"/>
  <c r="E52" i="10"/>
  <c r="E54" i="10"/>
  <c r="F55" i="10"/>
  <c r="F57" i="10"/>
  <c r="E60" i="10"/>
  <c r="E42" i="9"/>
  <c r="E44" i="9"/>
  <c r="E48" i="9"/>
  <c r="F49" i="9"/>
  <c r="E55" i="9"/>
  <c r="E56" i="9"/>
  <c r="F57" i="9"/>
  <c r="E59" i="9"/>
  <c r="F44" i="8"/>
  <c r="E45" i="8"/>
  <c r="E47" i="8"/>
  <c r="E49" i="8"/>
  <c r="F50" i="8"/>
  <c r="E51" i="8"/>
  <c r="F52" i="8"/>
  <c r="E54" i="8"/>
  <c r="E55" i="8"/>
  <c r="E60" i="8"/>
  <c r="F42" i="7"/>
  <c r="E46" i="7"/>
  <c r="F49" i="7"/>
  <c r="E54" i="7"/>
  <c r="E55" i="7"/>
  <c r="E57" i="7"/>
  <c r="F59" i="7"/>
  <c r="F60" i="7"/>
  <c r="F42" i="6"/>
  <c r="E44" i="6"/>
  <c r="F45" i="6"/>
  <c r="F46" i="6"/>
  <c r="F51" i="6"/>
  <c r="E55" i="6"/>
  <c r="E57" i="6"/>
  <c r="F59" i="6"/>
  <c r="E42" i="5"/>
  <c r="E44" i="5"/>
  <c r="E45" i="5"/>
  <c r="F46" i="5"/>
  <c r="F49" i="5"/>
  <c r="E50" i="5"/>
  <c r="E52" i="5"/>
  <c r="E56" i="5"/>
  <c r="F57" i="5"/>
  <c r="F59" i="5"/>
  <c r="F60" i="5"/>
  <c r="E42" i="3"/>
  <c r="E45" i="3"/>
  <c r="E47" i="3"/>
  <c r="F49" i="3"/>
  <c r="E50" i="3"/>
  <c r="E56" i="3"/>
  <c r="E58" i="3"/>
  <c r="D42" i="19"/>
  <c r="D44" i="19"/>
  <c r="D45" i="19"/>
  <c r="F45" i="19" s="1"/>
  <c r="D46" i="19"/>
  <c r="E46" i="19" s="1"/>
  <c r="D47" i="19"/>
  <c r="D48" i="19"/>
  <c r="D49" i="19"/>
  <c r="F49" i="19" s="1"/>
  <c r="D50" i="19"/>
  <c r="D51" i="19"/>
  <c r="D52" i="19"/>
  <c r="D54" i="19"/>
  <c r="D55" i="19"/>
  <c r="D56" i="19"/>
  <c r="D57" i="19"/>
  <c r="F57" i="19" s="1"/>
  <c r="D58" i="19"/>
  <c r="E58" i="19" s="1"/>
  <c r="D59" i="19"/>
  <c r="D60" i="19"/>
  <c r="E60" i="19" s="1"/>
  <c r="F41" i="17"/>
  <c r="E41" i="16"/>
  <c r="E41" i="15"/>
  <c r="F41" i="13"/>
  <c r="E41" i="12"/>
  <c r="E41" i="9"/>
  <c r="E41" i="8"/>
  <c r="E41" i="7"/>
  <c r="F41" i="3"/>
  <c r="D41" i="19"/>
  <c r="E41" i="19" s="1"/>
  <c r="F42" i="22"/>
  <c r="E32" i="19"/>
  <c r="D36" i="19"/>
  <c r="F36" i="19" s="1"/>
  <c r="D62" i="19"/>
  <c r="E62" i="19" s="1"/>
  <c r="F63" i="19"/>
  <c r="D64" i="19"/>
  <c r="E64" i="19" s="1"/>
  <c r="D65" i="19"/>
  <c r="F65" i="19" s="1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9" i="22"/>
  <c r="F48" i="9"/>
  <c r="F18" i="3"/>
  <c r="F28" i="3"/>
  <c r="F31" i="3"/>
  <c r="F33" i="3"/>
  <c r="F47" i="3"/>
  <c r="F48" i="3"/>
  <c r="F56" i="3"/>
  <c r="F58" i="3"/>
  <c r="E62" i="3"/>
  <c r="F62" i="3"/>
  <c r="F64" i="3"/>
  <c r="F65" i="3"/>
  <c r="F28" i="5"/>
  <c r="F33" i="5"/>
  <c r="F47" i="5"/>
  <c r="F48" i="5"/>
  <c r="F51" i="5"/>
  <c r="F56" i="5"/>
  <c r="F58" i="5"/>
  <c r="F63" i="5"/>
  <c r="E64" i="5"/>
  <c r="F64" i="5"/>
  <c r="F66" i="5"/>
  <c r="F28" i="6"/>
  <c r="F33" i="6"/>
  <c r="F47" i="6"/>
  <c r="F48" i="6"/>
  <c r="F56" i="6"/>
  <c r="F58" i="6"/>
  <c r="F62" i="6"/>
  <c r="F64" i="6"/>
  <c r="F28" i="7"/>
  <c r="F31" i="7"/>
  <c r="F33" i="7"/>
  <c r="F47" i="7"/>
  <c r="F48" i="7"/>
  <c r="F56" i="7"/>
  <c r="F58" i="7"/>
  <c r="F62" i="7"/>
  <c r="F64" i="7"/>
  <c r="F28" i="8"/>
  <c r="F33" i="8"/>
  <c r="F45" i="8"/>
  <c r="F48" i="8"/>
  <c r="F56" i="8"/>
  <c r="F58" i="8"/>
  <c r="F63" i="8"/>
  <c r="F64" i="8"/>
  <c r="E66" i="8"/>
  <c r="F28" i="9"/>
  <c r="F33" i="9"/>
  <c r="F56" i="9"/>
  <c r="F58" i="9"/>
  <c r="E64" i="9"/>
  <c r="F64" i="9"/>
  <c r="F28" i="10"/>
  <c r="F30" i="10"/>
  <c r="F33" i="10"/>
  <c r="F48" i="10"/>
  <c r="F52" i="10"/>
  <c r="F56" i="10"/>
  <c r="F58" i="10"/>
  <c r="F62" i="10"/>
  <c r="E63" i="10"/>
  <c r="F64" i="10"/>
  <c r="F28" i="11"/>
  <c r="F33" i="11"/>
  <c r="F47" i="11"/>
  <c r="F48" i="11"/>
  <c r="F56" i="11"/>
  <c r="F58" i="11"/>
  <c r="F62" i="11"/>
  <c r="F64" i="11"/>
  <c r="F66" i="11"/>
  <c r="F28" i="12"/>
  <c r="F33" i="12"/>
  <c r="F44" i="12"/>
  <c r="F47" i="12"/>
  <c r="F48" i="12"/>
  <c r="F56" i="12"/>
  <c r="F58" i="12"/>
  <c r="E60" i="12"/>
  <c r="F62" i="12"/>
  <c r="F63" i="12"/>
  <c r="F64" i="12"/>
  <c r="E16" i="13"/>
  <c r="F16" i="13"/>
  <c r="F28" i="13"/>
  <c r="F30" i="13"/>
  <c r="F33" i="13"/>
  <c r="F48" i="13"/>
  <c r="F56" i="13"/>
  <c r="F58" i="13"/>
  <c r="F62" i="13"/>
  <c r="E63" i="13"/>
  <c r="F64" i="13"/>
  <c r="F28" i="14"/>
  <c r="F33" i="14"/>
  <c r="F47" i="14"/>
  <c r="F48" i="14"/>
  <c r="E50" i="14"/>
  <c r="F56" i="14"/>
  <c r="F58" i="14"/>
  <c r="F62" i="14"/>
  <c r="E63" i="14"/>
  <c r="F64" i="14"/>
  <c r="F28" i="15"/>
  <c r="F30" i="15"/>
  <c r="F31" i="15"/>
  <c r="F33" i="15"/>
  <c r="F47" i="15"/>
  <c r="F48" i="15"/>
  <c r="F56" i="15"/>
  <c r="F58" i="15"/>
  <c r="F62" i="15"/>
  <c r="F64" i="15"/>
  <c r="F65" i="15"/>
  <c r="F28" i="16"/>
  <c r="F33" i="16"/>
  <c r="F46" i="16"/>
  <c r="F48" i="16"/>
  <c r="F56" i="16"/>
  <c r="F58" i="16"/>
  <c r="F62" i="16"/>
  <c r="F64" i="16"/>
  <c r="F28" i="17"/>
  <c r="F33" i="17"/>
  <c r="F47" i="17"/>
  <c r="F48" i="17"/>
  <c r="F56" i="17"/>
  <c r="F58" i="17"/>
  <c r="F62" i="17"/>
  <c r="E63" i="17"/>
  <c r="E64" i="17"/>
  <c r="F64" i="17"/>
  <c r="F28" i="18"/>
  <c r="E32" i="18"/>
  <c r="F33" i="18"/>
  <c r="F48" i="18"/>
  <c r="F52" i="18"/>
  <c r="F56" i="18"/>
  <c r="F58" i="18"/>
  <c r="F62" i="18"/>
  <c r="F64" i="18"/>
  <c r="F65" i="18"/>
  <c r="F28" i="19"/>
  <c r="F31" i="19"/>
  <c r="F33" i="19"/>
  <c r="F48" i="19"/>
  <c r="F56" i="19"/>
  <c r="F58" i="19"/>
  <c r="C61" i="19"/>
  <c r="F62" i="19"/>
  <c r="F64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1" i="20"/>
  <c r="C42" i="20"/>
  <c r="C44" i="20"/>
  <c r="C45" i="20"/>
  <c r="C46" i="20"/>
  <c r="C47" i="20"/>
  <c r="C48" i="20"/>
  <c r="C49" i="20"/>
  <c r="C50" i="20"/>
  <c r="C51" i="20"/>
  <c r="C52" i="20"/>
  <c r="C54" i="20"/>
  <c r="C55" i="20"/>
  <c r="C56" i="20"/>
  <c r="C57" i="20"/>
  <c r="C58" i="20"/>
  <c r="C59" i="20"/>
  <c r="C60" i="20"/>
  <c r="C62" i="20"/>
  <c r="C63" i="20"/>
  <c r="C64" i="20"/>
  <c r="C65" i="20"/>
  <c r="C66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6" i="22"/>
  <c r="F46" i="22"/>
  <c r="F48" i="22"/>
  <c r="E49" i="22"/>
  <c r="E56" i="22"/>
  <c r="F56" i="22"/>
  <c r="F58" i="22"/>
  <c r="E60" i="22"/>
  <c r="F62" i="22"/>
  <c r="E63" i="22"/>
  <c r="F64" i="22"/>
  <c r="F65" i="22"/>
  <c r="E66" i="22"/>
  <c r="F66" i="22"/>
  <c r="C6" i="23"/>
  <c r="E7" i="23"/>
  <c r="E8" i="23"/>
  <c r="C9" i="23"/>
  <c r="F10" i="23"/>
  <c r="F11" i="23"/>
  <c r="C12" i="23"/>
  <c r="D13" i="23"/>
  <c r="F13" i="23" s="1"/>
  <c r="D14" i="23"/>
  <c r="E14" i="23" s="1"/>
  <c r="C15" i="23"/>
  <c r="E16" i="23"/>
  <c r="F17" i="23"/>
  <c r="D18" i="23"/>
  <c r="E18" i="23" s="1"/>
  <c r="D20" i="23"/>
  <c r="E20" i="23" s="1"/>
  <c r="D21" i="23"/>
  <c r="E21" i="23" s="1"/>
  <c r="C88" i="23"/>
  <c r="E89" i="23"/>
  <c r="E90" i="23"/>
  <c r="C25" i="20"/>
  <c r="F50" i="9"/>
  <c r="F47" i="9"/>
  <c r="F16" i="15"/>
  <c r="F18" i="12"/>
  <c r="F54" i="22"/>
  <c r="F12" i="18"/>
  <c r="E26" i="9"/>
  <c r="F14" i="15"/>
  <c r="E14" i="15"/>
  <c r="F15" i="15"/>
  <c r="E18" i="15"/>
  <c r="F63" i="22"/>
  <c r="F41" i="22"/>
  <c r="F47" i="22"/>
  <c r="E41" i="22"/>
  <c r="E64" i="22"/>
  <c r="E62" i="22"/>
  <c r="E50" i="22"/>
  <c r="E45" i="22"/>
  <c r="E31" i="22"/>
  <c r="E30" i="22"/>
  <c r="E29" i="22"/>
  <c r="E48" i="12"/>
  <c r="E47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9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5" i="22"/>
  <c r="F49" i="22"/>
  <c r="E58" i="22"/>
  <c r="F50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5" i="10"/>
  <c r="F59" i="14"/>
  <c r="F44" i="16"/>
  <c r="F42" i="11"/>
  <c r="E50" i="10"/>
  <c r="F50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2" i="22"/>
  <c r="F12" i="19"/>
  <c r="F21" i="23" l="1"/>
  <c r="E36" i="19"/>
  <c r="C91" i="23"/>
  <c r="C84" i="23"/>
  <c r="C78" i="23"/>
  <c r="C73" i="23"/>
  <c r="C65" i="23"/>
  <c r="C50" i="23"/>
  <c r="C46" i="23"/>
  <c r="C39" i="23"/>
  <c r="C45" i="23"/>
  <c r="C87" i="23"/>
  <c r="C81" i="23"/>
  <c r="C77" i="23"/>
  <c r="C72" i="23"/>
  <c r="C68" i="23"/>
  <c r="C63" i="23"/>
  <c r="C49" i="23"/>
  <c r="C43" i="23"/>
  <c r="C38" i="23"/>
  <c r="C86" i="23"/>
  <c r="C80" i="23"/>
  <c r="C76" i="23"/>
  <c r="C71" i="23"/>
  <c r="C67" i="23"/>
  <c r="C62" i="23"/>
  <c r="C52" i="23"/>
  <c r="C41" i="23"/>
  <c r="C37" i="23"/>
  <c r="C42" i="23"/>
  <c r="C85" i="23"/>
  <c r="C79" i="23"/>
  <c r="C66" i="23"/>
  <c r="C57" i="23"/>
  <c r="C51" i="23"/>
  <c r="C47" i="23"/>
  <c r="C40" i="23"/>
  <c r="D54" i="23"/>
  <c r="F34" i="20"/>
  <c r="F25" i="19"/>
  <c r="E24" i="19"/>
  <c r="F60" i="10"/>
  <c r="E46" i="3"/>
  <c r="E58" i="8"/>
  <c r="E19" i="14"/>
  <c r="F12" i="8"/>
  <c r="E50" i="18"/>
  <c r="F9" i="23"/>
  <c r="E7" i="14"/>
  <c r="F27" i="7"/>
  <c r="E7" i="17"/>
  <c r="E44" i="7"/>
  <c r="E7" i="15"/>
  <c r="E7" i="10"/>
  <c r="E7" i="16"/>
  <c r="E7" i="6"/>
  <c r="E7" i="19"/>
  <c r="F59" i="18"/>
  <c r="F50" i="19"/>
  <c r="F25" i="8"/>
  <c r="F29" i="18"/>
  <c r="E26" i="18"/>
  <c r="E54" i="17"/>
  <c r="C40" i="19"/>
  <c r="E34" i="20"/>
  <c r="E11" i="11"/>
  <c r="E57" i="12"/>
  <c r="F41" i="8"/>
  <c r="E55" i="18"/>
  <c r="E42" i="15"/>
  <c r="F44" i="6"/>
  <c r="F8" i="14"/>
  <c r="E8" i="14"/>
  <c r="E15" i="17"/>
  <c r="E21" i="16"/>
  <c r="E48" i="8"/>
  <c r="E48" i="16"/>
  <c r="F13" i="8"/>
  <c r="F90" i="23"/>
  <c r="F37" i="15"/>
  <c r="F29" i="11"/>
  <c r="F17" i="16"/>
  <c r="F29" i="7"/>
  <c r="F25" i="11"/>
  <c r="F26" i="14"/>
  <c r="E66" i="11"/>
  <c r="E29" i="14"/>
  <c r="F55" i="7"/>
  <c r="F59" i="8"/>
  <c r="F11" i="8"/>
  <c r="E59" i="16"/>
  <c r="D6" i="23"/>
  <c r="E6" i="23" s="1"/>
  <c r="E19" i="11"/>
  <c r="F29" i="14"/>
  <c r="E11" i="12"/>
  <c r="F13" i="16"/>
  <c r="E49" i="11"/>
  <c r="E14" i="14"/>
  <c r="E37" i="11"/>
  <c r="F7" i="15"/>
  <c r="E58" i="9"/>
  <c r="E45" i="9"/>
  <c r="F59" i="12"/>
  <c r="F55" i="11"/>
  <c r="E33" i="5"/>
  <c r="E8" i="11"/>
  <c r="F27" i="13"/>
  <c r="E33" i="9"/>
  <c r="E42" i="17"/>
  <c r="F37" i="6"/>
  <c r="F65" i="10"/>
  <c r="F57" i="18"/>
  <c r="F22" i="3"/>
  <c r="F42" i="12"/>
  <c r="F54" i="9"/>
  <c r="F22" i="10"/>
  <c r="E62" i="17"/>
  <c r="E37" i="6"/>
  <c r="E49" i="3"/>
  <c r="F66" i="10"/>
  <c r="F25" i="23"/>
  <c r="F20" i="23"/>
  <c r="E54" i="9"/>
  <c r="E42" i="6"/>
  <c r="F44" i="7"/>
  <c r="F57" i="8"/>
  <c r="F57" i="7"/>
  <c r="E46" i="5"/>
  <c r="E23" i="6"/>
  <c r="F45" i="9"/>
  <c r="E51" i="12"/>
  <c r="E45" i="10"/>
  <c r="E55" i="11"/>
  <c r="E45" i="19"/>
  <c r="F25" i="14"/>
  <c r="E27" i="13"/>
  <c r="E15" i="11"/>
  <c r="F7" i="6"/>
  <c r="E25" i="11"/>
  <c r="E52" i="7"/>
  <c r="E52" i="8"/>
  <c r="F52" i="7"/>
  <c r="F12" i="11"/>
  <c r="F19" i="14"/>
  <c r="E44" i="8"/>
  <c r="E41" i="3"/>
  <c r="E56" i="6"/>
  <c r="E21" i="14"/>
  <c r="E29" i="16"/>
  <c r="F9" i="14"/>
  <c r="E41" i="13"/>
  <c r="E55" i="16"/>
  <c r="E51" i="16"/>
  <c r="E49" i="9"/>
  <c r="E54" i="3"/>
  <c r="F26" i="5"/>
  <c r="F29" i="16"/>
  <c r="F23" i="17"/>
  <c r="E33" i="8"/>
  <c r="E57" i="8"/>
  <c r="F51" i="13"/>
  <c r="E56" i="12"/>
  <c r="F11" i="10"/>
  <c r="E48" i="5"/>
  <c r="F65" i="8"/>
  <c r="E9" i="10"/>
  <c r="E46" i="10"/>
  <c r="E52" i="6"/>
  <c r="F41" i="7"/>
  <c r="F51" i="3"/>
  <c r="F49" i="17"/>
  <c r="E59" i="18"/>
  <c r="E49" i="13"/>
  <c r="E47" i="15"/>
  <c r="E33" i="14"/>
  <c r="E13" i="5"/>
  <c r="F20" i="8"/>
  <c r="E31" i="15"/>
  <c r="E58" i="7"/>
  <c r="F19" i="15"/>
  <c r="F50" i="14"/>
  <c r="E65" i="8"/>
  <c r="E53" i="22"/>
  <c r="E11" i="10"/>
  <c r="E44" i="15"/>
  <c r="E12" i="10"/>
  <c r="E25" i="16"/>
  <c r="E55" i="13"/>
  <c r="E66" i="5"/>
  <c r="F9" i="10"/>
  <c r="E30" i="15"/>
  <c r="E32" i="5"/>
  <c r="E42" i="11"/>
  <c r="F54" i="13"/>
  <c r="E44" i="11"/>
  <c r="E45" i="12"/>
  <c r="F60" i="9"/>
  <c r="F15" i="14"/>
  <c r="E17" i="18"/>
  <c r="E31" i="8"/>
  <c r="E56" i="15"/>
  <c r="E65" i="18"/>
  <c r="E66" i="10"/>
  <c r="F37" i="17"/>
  <c r="E64" i="7"/>
  <c r="E51" i="5"/>
  <c r="F9" i="11"/>
  <c r="F55" i="6"/>
  <c r="F7" i="13"/>
  <c r="E23" i="7"/>
  <c r="F26" i="16"/>
  <c r="E47" i="17"/>
  <c r="E13" i="3"/>
  <c r="E32" i="3"/>
  <c r="E37" i="16"/>
  <c r="E22" i="6"/>
  <c r="F30" i="14"/>
  <c r="E10" i="5"/>
  <c r="E32" i="12"/>
  <c r="F59" i="13"/>
  <c r="F52" i="14"/>
  <c r="E44" i="3"/>
  <c r="F46" i="13"/>
  <c r="F42" i="3"/>
  <c r="F44" i="5"/>
  <c r="F46" i="12"/>
  <c r="F51" i="7"/>
  <c r="E14" i="5"/>
  <c r="E27" i="5"/>
  <c r="E29" i="11"/>
  <c r="F8" i="7"/>
  <c r="F23" i="7"/>
  <c r="F12" i="10"/>
  <c r="F18" i="5"/>
  <c r="E15" i="14"/>
  <c r="F17" i="7"/>
  <c r="E18" i="7"/>
  <c r="E26" i="6"/>
  <c r="F19" i="16"/>
  <c r="E46" i="13"/>
  <c r="E56" i="19"/>
  <c r="E21" i="8"/>
  <c r="F17" i="3"/>
  <c r="F41" i="11"/>
  <c r="F49" i="15"/>
  <c r="E8" i="7"/>
  <c r="F52" i="15"/>
  <c r="E37" i="10"/>
  <c r="E48" i="14"/>
  <c r="F8" i="18"/>
  <c r="E18" i="8"/>
  <c r="E30" i="19"/>
  <c r="F10" i="14"/>
  <c r="F52" i="3"/>
  <c r="F46" i="7"/>
  <c r="E48" i="18"/>
  <c r="E54" i="12"/>
  <c r="E17" i="5"/>
  <c r="E8" i="5"/>
  <c r="F21" i="5"/>
  <c r="F17" i="11"/>
  <c r="F8" i="5"/>
  <c r="F13" i="19"/>
  <c r="E17" i="8"/>
  <c r="F23" i="18"/>
  <c r="F26" i="12"/>
  <c r="E19" i="10"/>
  <c r="E50" i="13"/>
  <c r="E62" i="10"/>
  <c r="F22" i="6"/>
  <c r="F20" i="10"/>
  <c r="F21" i="11"/>
  <c r="E41" i="11"/>
  <c r="E65" i="3"/>
  <c r="E26" i="16"/>
  <c r="E24" i="13"/>
  <c r="F32" i="12"/>
  <c r="E63" i="18"/>
  <c r="F66" i="14"/>
  <c r="E37" i="3"/>
  <c r="F37" i="9"/>
  <c r="E37" i="9"/>
  <c r="E45" i="14"/>
  <c r="E56" i="16"/>
  <c r="F42" i="16"/>
  <c r="E54" i="18"/>
  <c r="F54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6" i="15"/>
  <c r="F44" i="17"/>
  <c r="F45" i="18"/>
  <c r="E63" i="19"/>
  <c r="E15" i="8"/>
  <c r="F20" i="16"/>
  <c r="E26" i="19"/>
  <c r="F26" i="19"/>
  <c r="F21" i="7"/>
  <c r="F16" i="7"/>
  <c r="E16" i="7"/>
  <c r="E60" i="13"/>
  <c r="F47" i="13"/>
  <c r="E47" i="13"/>
  <c r="E42" i="13"/>
  <c r="F42" i="13"/>
  <c r="F54" i="15"/>
  <c r="F45" i="15"/>
  <c r="E51" i="17"/>
  <c r="E7" i="18"/>
  <c r="F7" i="18"/>
  <c r="E28" i="18"/>
  <c r="F27" i="8"/>
  <c r="E27" i="8"/>
  <c r="E14" i="8"/>
  <c r="E52" i="3"/>
  <c r="E54" i="5"/>
  <c r="F51" i="8"/>
  <c r="F51" i="16"/>
  <c r="F50" i="12"/>
  <c r="E55" i="15"/>
  <c r="E44" i="18"/>
  <c r="E32" i="17"/>
  <c r="F16" i="18"/>
  <c r="F27" i="6"/>
  <c r="F32" i="15"/>
  <c r="E28" i="6"/>
  <c r="E49" i="5"/>
  <c r="E52" i="14"/>
  <c r="E58" i="5"/>
  <c r="E50" i="12"/>
  <c r="E60" i="17"/>
  <c r="F44" i="18"/>
  <c r="F59" i="15"/>
  <c r="E57" i="9"/>
  <c r="E14" i="10"/>
  <c r="F20" i="19"/>
  <c r="F32" i="7"/>
  <c r="F21" i="17"/>
  <c r="E31" i="7"/>
  <c r="E19" i="16"/>
  <c r="E56" i="17"/>
  <c r="E50" i="15"/>
  <c r="E57" i="18"/>
  <c r="E62" i="12"/>
  <c r="F27" i="3"/>
  <c r="F49" i="18"/>
  <c r="F65" i="12"/>
  <c r="F62" i="9"/>
  <c r="E62" i="9"/>
  <c r="E33" i="19"/>
  <c r="F22" i="12"/>
  <c r="E22" i="16"/>
  <c r="F22" i="16"/>
  <c r="E10" i="8"/>
  <c r="E30" i="17"/>
  <c r="F30" i="17"/>
  <c r="E30" i="8"/>
  <c r="E29" i="5"/>
  <c r="E29" i="15"/>
  <c r="F52" i="13"/>
  <c r="E48" i="13"/>
  <c r="E60" i="16"/>
  <c r="E58" i="18"/>
  <c r="F27" i="15"/>
  <c r="E8" i="15"/>
  <c r="F8" i="15"/>
  <c r="F27" i="16"/>
  <c r="E27" i="16"/>
  <c r="F57" i="13"/>
  <c r="E19" i="5"/>
  <c r="E31" i="5"/>
  <c r="F32" i="13"/>
  <c r="E23" i="8"/>
  <c r="F45" i="14"/>
  <c r="E28" i="5"/>
  <c r="F41" i="5"/>
  <c r="E41" i="5"/>
  <c r="E48" i="19"/>
  <c r="F45" i="11"/>
  <c r="E45" i="11"/>
  <c r="F55" i="12"/>
  <c r="E55" i="12"/>
  <c r="F57" i="14"/>
  <c r="E57" i="14"/>
  <c r="E19" i="18"/>
  <c r="F22" i="8"/>
  <c r="F26" i="15"/>
  <c r="E26" i="15"/>
  <c r="E32" i="16"/>
  <c r="F32" i="16"/>
  <c r="F44" i="10"/>
  <c r="F22" i="11"/>
  <c r="F16" i="19"/>
  <c r="F18" i="8"/>
  <c r="E41" i="18"/>
  <c r="F51" i="17"/>
  <c r="E20" i="16"/>
  <c r="F66" i="17"/>
  <c r="E66" i="17"/>
  <c r="F60" i="16"/>
  <c r="F63" i="3"/>
  <c r="E63" i="3"/>
  <c r="E19" i="7"/>
  <c r="F19" i="7"/>
  <c r="E13" i="10"/>
  <c r="E25" i="17"/>
  <c r="F20" i="17"/>
  <c r="C39" i="19"/>
  <c r="E32" i="11"/>
  <c r="E27" i="14"/>
  <c r="E59" i="7"/>
  <c r="F57" i="11"/>
  <c r="E57" i="11"/>
  <c r="F52" i="11"/>
  <c r="E33" i="6"/>
  <c r="E7" i="5"/>
  <c r="F17" i="14"/>
  <c r="F46" i="8"/>
  <c r="E47" i="9"/>
  <c r="F51" i="10"/>
  <c r="E12" i="7"/>
  <c r="E7" i="12"/>
  <c r="F41" i="10"/>
  <c r="E41" i="10"/>
  <c r="F9" i="3"/>
  <c r="E24" i="22"/>
  <c r="F13" i="3"/>
  <c r="E50" i="8"/>
  <c r="E60" i="9"/>
  <c r="E55" i="19"/>
  <c r="E56" i="10"/>
  <c r="E65" i="19"/>
  <c r="E18" i="10"/>
  <c r="E31" i="3"/>
  <c r="E37" i="8"/>
  <c r="F37" i="13"/>
  <c r="E42" i="14"/>
  <c r="F45" i="16"/>
  <c r="E59" i="17"/>
  <c r="F51" i="18"/>
  <c r="E7" i="8"/>
  <c r="F7" i="8"/>
  <c r="E27" i="18"/>
  <c r="E31" i="16"/>
  <c r="F30" i="5"/>
  <c r="F30" i="6"/>
  <c r="E30" i="10"/>
  <c r="E11" i="5"/>
  <c r="F11" i="5"/>
  <c r="F12" i="5"/>
  <c r="E9" i="12"/>
  <c r="F47" i="19"/>
  <c r="F44" i="15"/>
  <c r="E51" i="10"/>
  <c r="E50" i="19"/>
  <c r="E47" i="19"/>
  <c r="E20" i="14"/>
  <c r="F15" i="11"/>
  <c r="E20" i="15"/>
  <c r="F32" i="6"/>
  <c r="E8" i="16"/>
  <c r="E33" i="16"/>
  <c r="E13" i="16"/>
  <c r="F25" i="16"/>
  <c r="E25" i="15"/>
  <c r="E46" i="8"/>
  <c r="E57" i="15"/>
  <c r="E13" i="14"/>
  <c r="E51" i="3"/>
  <c r="F42" i="9"/>
  <c r="E55" i="17"/>
  <c r="F42" i="14"/>
  <c r="E64" i="11"/>
  <c r="F60" i="8"/>
  <c r="F55" i="8"/>
  <c r="F15" i="19"/>
  <c r="E15" i="7"/>
  <c r="E7" i="7"/>
  <c r="F7" i="7"/>
  <c r="E8" i="10"/>
  <c r="F8" i="10"/>
  <c r="F55" i="19"/>
  <c r="E50" i="6"/>
  <c r="F50" i="6"/>
  <c r="E42" i="7"/>
  <c r="E56" i="8"/>
  <c r="E48" i="10"/>
  <c r="E64" i="13"/>
  <c r="F7" i="11"/>
  <c r="E21" i="10"/>
  <c r="F42" i="19"/>
  <c r="E42" i="19"/>
  <c r="E51" i="9"/>
  <c r="E7" i="9"/>
  <c r="F7" i="9"/>
  <c r="F23" i="11"/>
  <c r="F21" i="10"/>
  <c r="E26" i="10"/>
  <c r="E41" i="17"/>
  <c r="E63" i="12"/>
  <c r="E16" i="3"/>
  <c r="F16" i="3"/>
  <c r="E58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5" i="6"/>
  <c r="E58" i="6"/>
  <c r="F18" i="10"/>
  <c r="E62" i="14"/>
  <c r="F63" i="10"/>
  <c r="E66" i="9"/>
  <c r="F66" i="9"/>
  <c r="F63" i="9"/>
  <c r="E63" i="9"/>
  <c r="F51" i="9"/>
  <c r="F52" i="5"/>
  <c r="F21" i="3"/>
  <c r="F15" i="3"/>
  <c r="E15" i="3"/>
  <c r="F37" i="14"/>
  <c r="E37" i="14"/>
  <c r="F37" i="18"/>
  <c r="E37" i="18"/>
  <c r="F21" i="8"/>
  <c r="E23" i="19"/>
  <c r="E31" i="11"/>
  <c r="E59" i="11"/>
  <c r="E50" i="11"/>
  <c r="F50" i="11"/>
  <c r="F60" i="12"/>
  <c r="F55" i="14"/>
  <c r="E52" i="16"/>
  <c r="F45" i="17"/>
  <c r="F46" i="18"/>
  <c r="E46" i="18"/>
  <c r="F21" i="18"/>
  <c r="F25" i="6"/>
  <c r="E25" i="6"/>
  <c r="F16" i="8"/>
  <c r="E16" i="8"/>
  <c r="F23" i="15"/>
  <c r="E16" i="16"/>
  <c r="F16" i="16"/>
  <c r="F8" i="17"/>
  <c r="E8" i="17"/>
  <c r="F53" i="22"/>
  <c r="E10" i="3"/>
  <c r="F8" i="23"/>
  <c r="F89" i="23"/>
  <c r="F7" i="23"/>
  <c r="D88" i="23"/>
  <c r="E88" i="23" s="1"/>
  <c r="E82" i="23"/>
  <c r="E23" i="23"/>
  <c r="F22" i="23"/>
  <c r="F18" i="23"/>
  <c r="F14" i="23"/>
  <c r="C19" i="23"/>
  <c r="F24" i="22"/>
  <c r="F54" i="3"/>
  <c r="F45" i="3"/>
  <c r="E23" i="3"/>
  <c r="E17" i="3"/>
  <c r="F37" i="3"/>
  <c r="E21" i="3"/>
  <c r="F50" i="3"/>
  <c r="D55" i="20"/>
  <c r="E55" i="20" s="1"/>
  <c r="E59" i="5"/>
  <c r="F54" i="5"/>
  <c r="F45" i="5"/>
  <c r="E26" i="5"/>
  <c r="E15" i="5"/>
  <c r="D10" i="20"/>
  <c r="E57" i="5"/>
  <c r="F7" i="5"/>
  <c r="E63" i="5"/>
  <c r="F23" i="5"/>
  <c r="F57" i="6"/>
  <c r="E59" i="6"/>
  <c r="F52" i="6"/>
  <c r="E48" i="6"/>
  <c r="E41" i="6"/>
  <c r="F41" i="6"/>
  <c r="F54" i="7"/>
  <c r="F13" i="7"/>
  <c r="F18" i="7"/>
  <c r="E51" i="7"/>
  <c r="E47" i="7"/>
  <c r="F32" i="8"/>
  <c r="E8" i="8"/>
  <c r="F19" i="8"/>
  <c r="F54" i="8"/>
  <c r="F37" i="8"/>
  <c r="E13" i="8"/>
  <c r="F23" i="8"/>
  <c r="F65" i="9"/>
  <c r="E65" i="9"/>
  <c r="F13" i="10"/>
  <c r="E65" i="10"/>
  <c r="E58" i="10"/>
  <c r="F10" i="10"/>
  <c r="E44" i="10"/>
  <c r="F49" i="10"/>
  <c r="E18" i="11"/>
  <c r="E7" i="11"/>
  <c r="F14" i="11"/>
  <c r="F18" i="11"/>
  <c r="E33" i="11"/>
  <c r="F51" i="12"/>
  <c r="F7" i="12"/>
  <c r="E28" i="12"/>
  <c r="E37" i="12"/>
  <c r="E65" i="12"/>
  <c r="E42" i="12"/>
  <c r="E49" i="12"/>
  <c r="D11" i="20"/>
  <c r="E59" i="13"/>
  <c r="E45" i="13"/>
  <c r="E56" i="14"/>
  <c r="E66" i="14"/>
  <c r="F63" i="14"/>
  <c r="F65" i="14"/>
  <c r="F12" i="14"/>
  <c r="D12" i="20"/>
  <c r="E9" i="14"/>
  <c r="F21" i="14"/>
  <c r="E12" i="14"/>
  <c r="E51" i="15"/>
  <c r="E21" i="15"/>
  <c r="E49" i="15"/>
  <c r="E23" i="15"/>
  <c r="D54" i="20"/>
  <c r="D75" i="23" s="1"/>
  <c r="D60" i="20"/>
  <c r="D81" i="23" s="1"/>
  <c r="E59" i="15"/>
  <c r="F51" i="15"/>
  <c r="E33" i="15"/>
  <c r="E45" i="15"/>
  <c r="F55" i="16"/>
  <c r="E44" i="16"/>
  <c r="F57" i="16"/>
  <c r="F59" i="16"/>
  <c r="E14" i="16"/>
  <c r="E46" i="16"/>
  <c r="D48" i="20"/>
  <c r="E48" i="20" s="1"/>
  <c r="F8" i="16"/>
  <c r="D52" i="20"/>
  <c r="E52" i="20" s="1"/>
  <c r="F25" i="17"/>
  <c r="F14" i="17"/>
  <c r="F7" i="17"/>
  <c r="E33" i="17"/>
  <c r="F55" i="17"/>
  <c r="D37" i="20"/>
  <c r="F37" i="20" s="1"/>
  <c r="E57" i="17"/>
  <c r="D47" i="20"/>
  <c r="D68" i="23" s="1"/>
  <c r="F68" i="23" s="1"/>
  <c r="D58" i="20"/>
  <c r="D79" i="23" s="1"/>
  <c r="F18" i="18"/>
  <c r="E42" i="18"/>
  <c r="E62" i="18"/>
  <c r="E20" i="18"/>
  <c r="E31" i="18"/>
  <c r="F66" i="18"/>
  <c r="F60" i="18"/>
  <c r="D56" i="20"/>
  <c r="D77" i="23" s="1"/>
  <c r="E77" i="23" s="1"/>
  <c r="D63" i="20"/>
  <c r="F22" i="18"/>
  <c r="E66" i="18"/>
  <c r="F63" i="18"/>
  <c r="F41" i="18"/>
  <c r="F65" i="16"/>
  <c r="E65" i="16"/>
  <c r="E62" i="13"/>
  <c r="E64" i="10"/>
  <c r="E61" i="10"/>
  <c r="E65" i="5"/>
  <c r="F65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1" i="16"/>
  <c r="F57" i="3"/>
  <c r="E57" i="3"/>
  <c r="F50" i="7"/>
  <c r="F47" i="8"/>
  <c r="E52" i="9"/>
  <c r="F52" i="9"/>
  <c r="E57" i="10"/>
  <c r="F51" i="11"/>
  <c r="E51" i="11"/>
  <c r="F47" i="16"/>
  <c r="F52" i="17"/>
  <c r="E52" i="17"/>
  <c r="F9" i="7"/>
  <c r="E30" i="11"/>
  <c r="F30" i="11"/>
  <c r="F30" i="7"/>
  <c r="E29" i="10"/>
  <c r="F29" i="10"/>
  <c r="F9" i="16"/>
  <c r="F11" i="14"/>
  <c r="E30" i="7"/>
  <c r="F29" i="5"/>
  <c r="F59" i="3"/>
  <c r="E10" i="12"/>
  <c r="F41" i="9"/>
  <c r="D41" i="20"/>
  <c r="F41" i="20" s="1"/>
  <c r="F41" i="12"/>
  <c r="F54" i="11"/>
  <c r="E56" i="18"/>
  <c r="D45" i="20"/>
  <c r="D66" i="23" s="1"/>
  <c r="E60" i="5"/>
  <c r="F46" i="3"/>
  <c r="F44" i="9"/>
  <c r="E51" i="6"/>
  <c r="F42" i="8"/>
  <c r="F60" i="14"/>
  <c r="E60" i="14"/>
  <c r="D42" i="20"/>
  <c r="F42" i="20" s="1"/>
  <c r="F7" i="14"/>
  <c r="F32" i="17"/>
  <c r="E26" i="14"/>
  <c r="E28" i="17"/>
  <c r="E21" i="17"/>
  <c r="F29" i="12"/>
  <c r="F7" i="3"/>
  <c r="E10" i="16"/>
  <c r="E48" i="17"/>
  <c r="F22" i="7"/>
  <c r="F14" i="7"/>
  <c r="E14" i="7"/>
  <c r="E64" i="12"/>
  <c r="E63" i="11"/>
  <c r="F63" i="11"/>
  <c r="E8" i="9"/>
  <c r="F27" i="12"/>
  <c r="F20" i="12"/>
  <c r="F26" i="17"/>
  <c r="F25" i="3"/>
  <c r="F16" i="14"/>
  <c r="E16" i="14"/>
  <c r="E25" i="5"/>
  <c r="F8" i="13"/>
  <c r="F41" i="14"/>
  <c r="E41" i="14"/>
  <c r="E60" i="6"/>
  <c r="F60" i="6"/>
  <c r="F49" i="8"/>
  <c r="E50" i="9"/>
  <c r="F46" i="9"/>
  <c r="E46" i="9"/>
  <c r="F44" i="13"/>
  <c r="F49" i="14"/>
  <c r="E49" i="14"/>
  <c r="E46" i="14"/>
  <c r="F46" i="14"/>
  <c r="E49" i="16"/>
  <c r="F49" i="16"/>
  <c r="F50" i="17"/>
  <c r="E50" i="17"/>
  <c r="F46" i="17"/>
  <c r="E46" i="17"/>
  <c r="F47" i="18"/>
  <c r="E47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9" i="10"/>
  <c r="F10" i="3"/>
  <c r="F12" i="3"/>
  <c r="E11" i="7"/>
  <c r="D26" i="20"/>
  <c r="D46" i="23" s="1"/>
  <c r="E9" i="16"/>
  <c r="E59" i="3"/>
  <c r="F54" i="14"/>
  <c r="F60" i="15"/>
  <c r="F51" i="14"/>
  <c r="F57" i="17"/>
  <c r="D50" i="20"/>
  <c r="F50" i="20" s="1"/>
  <c r="E42" i="8"/>
  <c r="E51" i="18"/>
  <c r="D28" i="20"/>
  <c r="E28" i="20" s="1"/>
  <c r="E7" i="13"/>
  <c r="E23" i="20"/>
  <c r="F16" i="5"/>
  <c r="E33" i="13"/>
  <c r="E27" i="12"/>
  <c r="F23" i="16"/>
  <c r="E28" i="13"/>
  <c r="E50" i="7"/>
  <c r="E49" i="18"/>
  <c r="E59" i="10"/>
  <c r="F57" i="15"/>
  <c r="E66" i="13"/>
  <c r="E62" i="15"/>
  <c r="F66" i="7"/>
  <c r="E66" i="7"/>
  <c r="E28" i="7"/>
  <c r="E27" i="10"/>
  <c r="F27" i="10"/>
  <c r="F15" i="10"/>
  <c r="D15" i="20"/>
  <c r="F63" i="17"/>
  <c r="F63" i="16"/>
  <c r="E63" i="16"/>
  <c r="E65" i="15"/>
  <c r="E66" i="3"/>
  <c r="F66" i="3"/>
  <c r="E28" i="16"/>
  <c r="F12" i="16"/>
  <c r="E12" i="16"/>
  <c r="F65" i="13"/>
  <c r="E65" i="13"/>
  <c r="E63" i="8"/>
  <c r="E33" i="18"/>
  <c r="F46" i="11"/>
  <c r="F50" i="16"/>
  <c r="F22" i="5"/>
  <c r="F66" i="19"/>
  <c r="C56" i="23"/>
  <c r="D57" i="20"/>
  <c r="F57" i="20" s="1"/>
  <c r="E57" i="19"/>
  <c r="F56" i="20"/>
  <c r="E59" i="19"/>
  <c r="F58" i="20"/>
  <c r="D44" i="20"/>
  <c r="F44" i="20" s="1"/>
  <c r="F44" i="19"/>
  <c r="F29" i="19"/>
  <c r="D14" i="20"/>
  <c r="D51" i="20"/>
  <c r="D72" i="23" s="1"/>
  <c r="F41" i="19"/>
  <c r="F7" i="19"/>
  <c r="F14" i="19"/>
  <c r="E44" i="19"/>
  <c r="D46" i="20"/>
  <c r="F46" i="20" s="1"/>
  <c r="F59" i="19"/>
  <c r="D33" i="20"/>
  <c r="D53" i="23" s="1"/>
  <c r="F27" i="19"/>
  <c r="F64" i="20"/>
  <c r="E66" i="19"/>
  <c r="D59" i="20"/>
  <c r="D80" i="23" s="1"/>
  <c r="F51" i="19"/>
  <c r="E51" i="19"/>
  <c r="E49" i="19"/>
  <c r="F46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5" i="23"/>
  <c r="C53" i="20"/>
  <c r="F28" i="20"/>
  <c r="C48" i="23"/>
  <c r="F65" i="17"/>
  <c r="E65" i="17"/>
  <c r="E64" i="16"/>
  <c r="F66" i="12"/>
  <c r="E62" i="7"/>
  <c r="E62" i="5"/>
  <c r="E31" i="10"/>
  <c r="F17" i="10"/>
  <c r="D19" i="20"/>
  <c r="F19" i="20" s="1"/>
  <c r="E19" i="17"/>
  <c r="F29" i="3"/>
  <c r="E29" i="3"/>
  <c r="E52" i="22"/>
  <c r="D25" i="20"/>
  <c r="D45" i="23" s="1"/>
  <c r="C70" i="23"/>
  <c r="E26" i="13"/>
  <c r="E31" i="12"/>
  <c r="E64" i="6"/>
  <c r="F13" i="12"/>
  <c r="E22" i="19"/>
  <c r="F22" i="19"/>
  <c r="E11" i="16"/>
  <c r="F9" i="5"/>
  <c r="E30" i="9"/>
  <c r="E30" i="3"/>
  <c r="F30" i="3"/>
  <c r="F29" i="17"/>
  <c r="E29" i="17"/>
  <c r="E29" i="8"/>
  <c r="E29" i="6"/>
  <c r="F55" i="22"/>
  <c r="F51" i="22"/>
  <c r="E51" i="22"/>
  <c r="E10" i="7"/>
  <c r="F11" i="16"/>
  <c r="E11" i="3"/>
  <c r="F32" i="5"/>
  <c r="E27" i="7"/>
  <c r="F11" i="12"/>
  <c r="F26" i="13"/>
  <c r="D62" i="20"/>
  <c r="F65" i="11"/>
  <c r="E65" i="11"/>
  <c r="E64" i="8"/>
  <c r="F65" i="7"/>
  <c r="E65" i="7"/>
  <c r="E63" i="7"/>
  <c r="F63" i="7"/>
  <c r="E63" i="6"/>
  <c r="F63" i="6"/>
  <c r="E57" i="22"/>
  <c r="F57" i="22"/>
  <c r="E48" i="22"/>
  <c r="E29" i="12"/>
  <c r="F54" i="19"/>
  <c r="E54" i="19"/>
  <c r="D49" i="20"/>
  <c r="D70" i="23" s="1"/>
  <c r="F60" i="3"/>
  <c r="E60" i="3"/>
  <c r="E55" i="3"/>
  <c r="F55" i="3"/>
  <c r="E48" i="3"/>
  <c r="F44" i="3"/>
  <c r="E55" i="5"/>
  <c r="F55" i="5"/>
  <c r="F50" i="5"/>
  <c r="E47" i="5"/>
  <c r="F42" i="5"/>
  <c r="E54" i="6"/>
  <c r="F54" i="6"/>
  <c r="E49" i="6"/>
  <c r="F49" i="6"/>
  <c r="E46" i="6"/>
  <c r="E60" i="7"/>
  <c r="E56" i="7"/>
  <c r="E48" i="7"/>
  <c r="F45" i="7"/>
  <c r="E45" i="7"/>
  <c r="F59" i="9"/>
  <c r="F55" i="9"/>
  <c r="E47" i="10"/>
  <c r="E42" i="10"/>
  <c r="E47" i="11"/>
  <c r="E52" i="12"/>
  <c r="F52" i="12"/>
  <c r="E58" i="13"/>
  <c r="F54" i="16"/>
  <c r="E17" i="19"/>
  <c r="F17" i="19"/>
  <c r="E32" i="22"/>
  <c r="F28" i="22"/>
  <c r="E28" i="22"/>
  <c r="F66" i="16"/>
  <c r="E66" i="16"/>
  <c r="E62" i="16"/>
  <c r="E25" i="10"/>
  <c r="E8" i="12"/>
  <c r="F8" i="12"/>
  <c r="E18" i="19"/>
  <c r="E29" i="9"/>
  <c r="F32" i="10"/>
  <c r="E32" i="10"/>
  <c r="C43" i="20"/>
  <c r="E17" i="10"/>
  <c r="D66" i="20"/>
  <c r="E65" i="22"/>
  <c r="D36" i="20"/>
  <c r="E36" i="20" s="1"/>
  <c r="E56" i="13"/>
  <c r="E9" i="5"/>
  <c r="D13" i="20"/>
  <c r="E13" i="20" s="1"/>
  <c r="D27" i="20"/>
  <c r="D17" i="20"/>
  <c r="F17" i="20" s="1"/>
  <c r="D22" i="20"/>
  <c r="F19" i="17"/>
  <c r="E55" i="22"/>
  <c r="D7" i="20"/>
  <c r="D18" i="20"/>
  <c r="D38" i="23" s="1"/>
  <c r="E38" i="23" s="1"/>
  <c r="E65" i="14"/>
  <c r="D64" i="20"/>
  <c r="D86" i="23" s="1"/>
  <c r="E64" i="14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F31" i="20" s="1"/>
  <c r="E33" i="22"/>
  <c r="C61" i="20"/>
  <c r="F48" i="20"/>
  <c r="C69" i="23"/>
  <c r="E66" i="15"/>
  <c r="F66" i="15"/>
  <c r="E62" i="11"/>
  <c r="E62" i="8"/>
  <c r="F62" i="8"/>
  <c r="F61" i="8"/>
  <c r="E37" i="7"/>
  <c r="E47" i="22"/>
  <c r="E44" i="22"/>
  <c r="F44" i="22"/>
  <c r="F23" i="12"/>
  <c r="E23" i="10"/>
  <c r="E16" i="10"/>
  <c r="F16" i="10"/>
  <c r="F41" i="15"/>
  <c r="F60" i="19"/>
  <c r="F52" i="19"/>
  <c r="E52" i="19"/>
  <c r="F54" i="10"/>
  <c r="F60" i="11"/>
  <c r="E60" i="11"/>
  <c r="E58" i="11"/>
  <c r="E44" i="14"/>
  <c r="D16" i="20"/>
  <c r="E19" i="22"/>
  <c r="F63" i="13"/>
  <c r="F66" i="8"/>
  <c r="F66" i="6"/>
  <c r="E62" i="6"/>
  <c r="E64" i="3"/>
  <c r="E20" i="3"/>
  <c r="F20" i="3"/>
  <c r="E14" i="3"/>
  <c r="F18" i="17"/>
  <c r="F60" i="22"/>
  <c r="D61" i="19"/>
  <c r="F61" i="19" s="1"/>
  <c r="E31" i="19"/>
  <c r="E65" i="6"/>
  <c r="F65" i="6"/>
  <c r="F23" i="14"/>
  <c r="D65" i="20"/>
  <c r="D87" i="23" s="1"/>
  <c r="E53" i="15"/>
  <c r="D43" i="19"/>
  <c r="E43" i="7"/>
  <c r="E53" i="9"/>
  <c r="D53" i="19"/>
  <c r="E13" i="23"/>
  <c r="D12" i="23"/>
  <c r="F12" i="23" s="1"/>
  <c r="D9" i="23"/>
  <c r="C93" i="23"/>
  <c r="D15" i="23"/>
  <c r="E17" i="23"/>
  <c r="E25" i="23"/>
  <c r="F16" i="23"/>
  <c r="E25" i="22"/>
  <c r="E20" i="22"/>
  <c r="E64" i="15"/>
  <c r="E63" i="15"/>
  <c r="F66" i="13"/>
  <c r="E66" i="12"/>
  <c r="E36" i="22"/>
  <c r="E26" i="22"/>
  <c r="E21" i="22"/>
  <c r="E17" i="22"/>
  <c r="E64" i="18"/>
  <c r="F63" i="15"/>
  <c r="E66" i="6"/>
  <c r="F62" i="5"/>
  <c r="E16" i="19"/>
  <c r="D29" i="20"/>
  <c r="E25" i="19"/>
  <c r="E8" i="19"/>
  <c r="E10" i="11"/>
  <c r="E25" i="13"/>
  <c r="E53" i="13"/>
  <c r="F37" i="19"/>
  <c r="F45" i="23" l="1"/>
  <c r="F79" i="23"/>
  <c r="F36" i="20"/>
  <c r="E7" i="20"/>
  <c r="F80" i="23"/>
  <c r="E66" i="23"/>
  <c r="E46" i="23"/>
  <c r="F81" i="23"/>
  <c r="F69" i="23"/>
  <c r="F77" i="23"/>
  <c r="E54" i="23"/>
  <c r="F54" i="23"/>
  <c r="F62" i="20"/>
  <c r="D84" i="23"/>
  <c r="F84" i="23" s="1"/>
  <c r="D85" i="23"/>
  <c r="F85" i="23" s="1"/>
  <c r="F33" i="20"/>
  <c r="F6" i="23"/>
  <c r="E9" i="23"/>
  <c r="E6" i="9"/>
  <c r="E61" i="9"/>
  <c r="E61" i="16"/>
  <c r="E10" i="20"/>
  <c r="F52" i="20"/>
  <c r="F61" i="9"/>
  <c r="E61" i="15"/>
  <c r="F10" i="20"/>
  <c r="F61" i="16"/>
  <c r="F61" i="18"/>
  <c r="F61" i="15"/>
  <c r="F88" i="23"/>
  <c r="F11" i="20"/>
  <c r="F55" i="20"/>
  <c r="E12" i="23"/>
  <c r="D76" i="23"/>
  <c r="F76" i="23" s="1"/>
  <c r="E79" i="23"/>
  <c r="E12" i="20"/>
  <c r="F14" i="20"/>
  <c r="D50" i="23"/>
  <c r="E50" i="23" s="1"/>
  <c r="F26" i="20"/>
  <c r="F54" i="20"/>
  <c r="F63" i="20"/>
  <c r="E68" i="23"/>
  <c r="E11" i="20"/>
  <c r="D69" i="23"/>
  <c r="E69" i="23" s="1"/>
  <c r="E37" i="20"/>
  <c r="E58" i="20"/>
  <c r="D57" i="23"/>
  <c r="E57" i="23" s="1"/>
  <c r="F12" i="20"/>
  <c r="E15" i="20"/>
  <c r="E75" i="23"/>
  <c r="E63" i="20"/>
  <c r="E54" i="20"/>
  <c r="F15" i="20"/>
  <c r="E47" i="20"/>
  <c r="D73" i="23"/>
  <c r="E73" i="23" s="1"/>
  <c r="E60" i="20"/>
  <c r="F60" i="20"/>
  <c r="D43" i="23"/>
  <c r="F43" i="23" s="1"/>
  <c r="E56" i="20"/>
  <c r="F18" i="20"/>
  <c r="F47" i="20"/>
  <c r="E19" i="20"/>
  <c r="E45" i="20"/>
  <c r="E50" i="20"/>
  <c r="F38" i="23"/>
  <c r="F66" i="23"/>
  <c r="F9" i="20"/>
  <c r="E61" i="18"/>
  <c r="D48" i="23"/>
  <c r="F48" i="23" s="1"/>
  <c r="F30" i="20"/>
  <c r="F46" i="23"/>
  <c r="E59" i="20"/>
  <c r="E24" i="5"/>
  <c r="F24" i="5"/>
  <c r="E24" i="9"/>
  <c r="E18" i="20"/>
  <c r="F23" i="20"/>
  <c r="F61" i="10"/>
  <c r="D65" i="23"/>
  <c r="E65" i="23" s="1"/>
  <c r="D78" i="23"/>
  <c r="E44" i="20"/>
  <c r="D62" i="23"/>
  <c r="E62" i="23" s="1"/>
  <c r="D71" i="23"/>
  <c r="E71" i="23" s="1"/>
  <c r="E26" i="20"/>
  <c r="E24" i="16"/>
  <c r="F24" i="16"/>
  <c r="F61" i="13"/>
  <c r="E61" i="13"/>
  <c r="D63" i="23"/>
  <c r="E42" i="20"/>
  <c r="E39" i="5"/>
  <c r="F45" i="20"/>
  <c r="F53" i="23"/>
  <c r="E41" i="20"/>
  <c r="F24" i="9"/>
  <c r="F25" i="20"/>
  <c r="D56" i="23"/>
  <c r="E56" i="23" s="1"/>
  <c r="E14" i="20"/>
  <c r="E57" i="20"/>
  <c r="E33" i="20"/>
  <c r="F59" i="20"/>
  <c r="D53" i="20"/>
  <c r="F53" i="20" s="1"/>
  <c r="E45" i="23"/>
  <c r="F20" i="20"/>
  <c r="E53" i="23"/>
  <c r="C44" i="23"/>
  <c r="E46" i="20"/>
  <c r="D67" i="23"/>
  <c r="D40" i="23"/>
  <c r="E40" i="23" s="1"/>
  <c r="E80" i="23"/>
  <c r="F51" i="20"/>
  <c r="E51" i="20"/>
  <c r="F75" i="23"/>
  <c r="E70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3" i="10"/>
  <c r="F53" i="10"/>
  <c r="E24" i="3"/>
  <c r="F24" i="3"/>
  <c r="E24" i="8"/>
  <c r="F24" i="8"/>
  <c r="F6" i="8"/>
  <c r="C83" i="23"/>
  <c r="D51" i="23"/>
  <c r="E31" i="20"/>
  <c r="D91" i="23"/>
  <c r="F66" i="20"/>
  <c r="E66" i="20"/>
  <c r="F43" i="22"/>
  <c r="E43" i="22"/>
  <c r="E24" i="7"/>
  <c r="F24" i="7"/>
  <c r="F43" i="15"/>
  <c r="E43" i="15"/>
  <c r="F24" i="18"/>
  <c r="E24" i="18"/>
  <c r="F24" i="11"/>
  <c r="E24" i="11"/>
  <c r="F61" i="12"/>
  <c r="E61" i="12"/>
  <c r="E53" i="6"/>
  <c r="F53" i="6"/>
  <c r="E53" i="3"/>
  <c r="F53" i="3"/>
  <c r="F61" i="6"/>
  <c r="E61" i="6"/>
  <c r="C74" i="23"/>
  <c r="D37" i="23"/>
  <c r="D40" i="19"/>
  <c r="E43" i="19"/>
  <c r="F43" i="19"/>
  <c r="F53" i="15"/>
  <c r="F65" i="20"/>
  <c r="E65" i="20"/>
  <c r="E43" i="9"/>
  <c r="F43" i="9"/>
  <c r="E61" i="19"/>
  <c r="E53" i="11"/>
  <c r="F53" i="11"/>
  <c r="E61" i="8"/>
  <c r="F53" i="5"/>
  <c r="E53" i="5"/>
  <c r="F70" i="23"/>
  <c r="E62" i="20"/>
  <c r="E49" i="20"/>
  <c r="F61" i="17"/>
  <c r="E61" i="17"/>
  <c r="D43" i="20"/>
  <c r="C39" i="20"/>
  <c r="F43" i="7"/>
  <c r="F43" i="11"/>
  <c r="F61" i="11"/>
  <c r="E61" i="22"/>
  <c r="F61" i="22"/>
  <c r="D47" i="23"/>
  <c r="E27" i="20"/>
  <c r="F43" i="3"/>
  <c r="E43" i="3"/>
  <c r="F27" i="20"/>
  <c r="E53" i="19"/>
  <c r="F53" i="19"/>
  <c r="F53" i="7"/>
  <c r="E53" i="7"/>
  <c r="F43" i="14"/>
  <c r="E43" i="14"/>
  <c r="E64" i="20"/>
  <c r="E43" i="11"/>
  <c r="D61" i="20"/>
  <c r="F61" i="20" s="1"/>
  <c r="E81" i="23"/>
  <c r="E17" i="20"/>
  <c r="F16" i="20"/>
  <c r="F53" i="9"/>
  <c r="F24" i="12"/>
  <c r="E24" i="12"/>
  <c r="E53" i="12"/>
  <c r="F53" i="12"/>
  <c r="F61" i="3"/>
  <c r="E61" i="3"/>
  <c r="E61" i="11"/>
  <c r="E39" i="16"/>
  <c r="F39" i="16"/>
  <c r="F61" i="14"/>
  <c r="E61" i="14"/>
  <c r="E61" i="5"/>
  <c r="F61" i="5"/>
  <c r="F7" i="20"/>
  <c r="F72" i="23"/>
  <c r="E72" i="23"/>
  <c r="E22" i="20"/>
  <c r="D42" i="23"/>
  <c r="F22" i="20"/>
  <c r="C40" i="20"/>
  <c r="F24" i="10"/>
  <c r="E24" i="10"/>
  <c r="C64" i="23"/>
  <c r="E61" i="7"/>
  <c r="F61" i="7"/>
  <c r="F49" i="20"/>
  <c r="F6" i="9"/>
  <c r="D93" i="23"/>
  <c r="F93" i="23" s="1"/>
  <c r="D19" i="23"/>
  <c r="E15" i="23"/>
  <c r="F15" i="23"/>
  <c r="E52" i="23"/>
  <c r="F52" i="23"/>
  <c r="E43" i="18"/>
  <c r="F43" i="18"/>
  <c r="F43" i="13"/>
  <c r="E43" i="13"/>
  <c r="F43" i="12"/>
  <c r="E43" i="12"/>
  <c r="E53" i="16"/>
  <c r="F53" i="16"/>
  <c r="F43" i="10"/>
  <c r="E43" i="10"/>
  <c r="F24" i="17"/>
  <c r="E24" i="17"/>
  <c r="F53" i="8"/>
  <c r="E53" i="8"/>
  <c r="E24" i="15"/>
  <c r="F24" i="15"/>
  <c r="F43" i="8"/>
  <c r="E43" i="8"/>
  <c r="F53" i="13"/>
  <c r="F24" i="13"/>
  <c r="F43" i="6"/>
  <c r="E43" i="6"/>
  <c r="F24" i="19"/>
  <c r="D39" i="19"/>
  <c r="D24" i="20"/>
  <c r="D6" i="20" s="1"/>
  <c r="D49" i="23"/>
  <c r="F29" i="20"/>
  <c r="E29" i="20"/>
  <c r="F24" i="6"/>
  <c r="E24" i="6"/>
  <c r="E53" i="18"/>
  <c r="F53" i="18"/>
  <c r="F24" i="14"/>
  <c r="E24" i="14"/>
  <c r="F43" i="16"/>
  <c r="E43" i="16"/>
  <c r="F53" i="17"/>
  <c r="E53" i="17"/>
  <c r="F43" i="5"/>
  <c r="E43" i="5"/>
  <c r="F53" i="14"/>
  <c r="E53" i="14"/>
  <c r="E43" i="17"/>
  <c r="F43" i="17"/>
  <c r="F56" i="23" l="1"/>
  <c r="E51" i="23"/>
  <c r="F51" i="23"/>
  <c r="E85" i="23"/>
  <c r="E76" i="23"/>
  <c r="F39" i="5"/>
  <c r="F6" i="5"/>
  <c r="E6" i="5"/>
  <c r="E93" i="23"/>
  <c r="F50" i="23"/>
  <c r="E43" i="23"/>
  <c r="F57" i="23"/>
  <c r="E39" i="8"/>
  <c r="F65" i="23"/>
  <c r="F73" i="23"/>
  <c r="E48" i="23"/>
  <c r="C61" i="23"/>
  <c r="F62" i="23"/>
  <c r="E78" i="23"/>
  <c r="F78" i="23"/>
  <c r="D64" i="23"/>
  <c r="F64" i="23" s="1"/>
  <c r="D74" i="23"/>
  <c r="E74" i="23" s="1"/>
  <c r="E6" i="16"/>
  <c r="F6" i="16"/>
  <c r="E63" i="23"/>
  <c r="F63" i="23"/>
  <c r="F39" i="8"/>
  <c r="F71" i="23"/>
  <c r="E39" i="9"/>
  <c r="F39" i="9"/>
  <c r="E53" i="20"/>
  <c r="D40" i="20"/>
  <c r="E40" i="20" s="1"/>
  <c r="E39" i="23"/>
  <c r="F40" i="23"/>
  <c r="F67" i="23"/>
  <c r="E67" i="23"/>
  <c r="E61" i="20"/>
  <c r="E43" i="20"/>
  <c r="F43" i="20"/>
  <c r="E41" i="23"/>
  <c r="F41" i="23"/>
  <c r="E39" i="3"/>
  <c r="F39" i="3"/>
  <c r="F39" i="10"/>
  <c r="E39" i="10"/>
  <c r="E40" i="7"/>
  <c r="F40" i="7"/>
  <c r="F40" i="9"/>
  <c r="E40" i="9"/>
  <c r="F87" i="23"/>
  <c r="E87" i="23"/>
  <c r="E37" i="23"/>
  <c r="F37" i="23"/>
  <c r="E39" i="11"/>
  <c r="F39" i="11"/>
  <c r="D83" i="23"/>
  <c r="F83" i="23" s="1"/>
  <c r="F86" i="23"/>
  <c r="E86" i="23"/>
  <c r="F39" i="18"/>
  <c r="E39" i="18"/>
  <c r="F40" i="15"/>
  <c r="E40" i="15"/>
  <c r="E6" i="7"/>
  <c r="F6" i="7"/>
  <c r="F91" i="23"/>
  <c r="E91" i="23"/>
  <c r="E84" i="23"/>
  <c r="F39" i="12"/>
  <c r="E39" i="12"/>
  <c r="E47" i="23"/>
  <c r="F47" i="23"/>
  <c r="F40" i="11"/>
  <c r="E40" i="11"/>
  <c r="E39" i="7"/>
  <c r="F39" i="7"/>
  <c r="E6" i="8"/>
  <c r="F42" i="23"/>
  <c r="E42" i="23"/>
  <c r="F6" i="18"/>
  <c r="E6" i="18"/>
  <c r="F40" i="3"/>
  <c r="E40" i="3"/>
  <c r="F40" i="19"/>
  <c r="E40" i="19"/>
  <c r="E6" i="11"/>
  <c r="F6" i="11"/>
  <c r="F40" i="22"/>
  <c r="E40" i="22"/>
  <c r="E6" i="3"/>
  <c r="F6" i="3"/>
  <c r="F19" i="23"/>
  <c r="E19" i="23"/>
  <c r="E40" i="14"/>
  <c r="F40" i="14"/>
  <c r="E39" i="14"/>
  <c r="F39" i="14"/>
  <c r="F49" i="23"/>
  <c r="E49" i="23"/>
  <c r="F6" i="13"/>
  <c r="E6" i="13"/>
  <c r="E6" i="6"/>
  <c r="F6" i="6"/>
  <c r="E39" i="6"/>
  <c r="F39" i="6"/>
  <c r="D44" i="23"/>
  <c r="E24" i="20"/>
  <c r="F24" i="20"/>
  <c r="F6" i="17"/>
  <c r="E6" i="17"/>
  <c r="F40" i="12"/>
  <c r="E40" i="12"/>
  <c r="E40" i="13"/>
  <c r="F40" i="13"/>
  <c r="E40" i="18"/>
  <c r="F40" i="18"/>
  <c r="F40" i="17"/>
  <c r="E40" i="17"/>
  <c r="F40" i="5"/>
  <c r="E40" i="5"/>
  <c r="F40" i="16"/>
  <c r="E40" i="16"/>
  <c r="F6" i="19"/>
  <c r="E6" i="19"/>
  <c r="F40" i="6"/>
  <c r="E40" i="6"/>
  <c r="F6" i="15"/>
  <c r="E6" i="15"/>
  <c r="F6" i="14"/>
  <c r="E6" i="14"/>
  <c r="F39" i="19"/>
  <c r="D39" i="20"/>
  <c r="E39" i="19"/>
  <c r="E39" i="13"/>
  <c r="F39" i="13"/>
  <c r="E40" i="8"/>
  <c r="F40" i="8"/>
  <c r="F39" i="15"/>
  <c r="E39" i="15"/>
  <c r="F39" i="17"/>
  <c r="E39" i="17"/>
  <c r="E40" i="10"/>
  <c r="F40" i="10"/>
  <c r="D61" i="23" l="1"/>
  <c r="F61" i="23" s="1"/>
  <c r="E64" i="23"/>
  <c r="F74" i="23"/>
  <c r="F40" i="20"/>
  <c r="E83" i="23"/>
  <c r="F39" i="20"/>
  <c r="E39" i="20"/>
  <c r="F6" i="20"/>
  <c r="E6" i="20"/>
  <c r="E44" i="23"/>
  <c r="F44" i="23"/>
  <c r="E61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9" i="22"/>
  <c r="C26" i="23" l="1"/>
  <c r="E34" i="23"/>
  <c r="D30" i="23"/>
  <c r="F30" i="23" s="1"/>
  <c r="D28" i="23"/>
  <c r="E28" i="23" s="1"/>
  <c r="E7" i="22"/>
  <c r="E16" i="22"/>
  <c r="D33" i="23"/>
  <c r="E33" i="23" s="1"/>
  <c r="F34" i="23"/>
  <c r="C59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D26" i="23" l="1"/>
  <c r="C94" i="23"/>
  <c r="F27" i="23"/>
  <c r="E27" i="23"/>
  <c r="F28" i="23"/>
  <c r="E30" i="23"/>
  <c r="D59" i="23"/>
  <c r="F59" i="23" s="1"/>
  <c r="E39" i="22"/>
  <c r="C24" i="23"/>
  <c r="F33" i="23"/>
  <c r="F29" i="23"/>
  <c r="E6" i="22"/>
  <c r="E31" i="23"/>
  <c r="F35" i="23"/>
  <c r="F6" i="22"/>
  <c r="F32" i="23"/>
  <c r="C60" i="23" l="1"/>
  <c r="D94" i="23"/>
  <c r="D24" i="23"/>
  <c r="E59" i="23"/>
  <c r="F26" i="23"/>
  <c r="E26" i="23"/>
  <c r="C92" i="23" l="1"/>
  <c r="D60" i="23"/>
  <c r="F24" i="23"/>
  <c r="E24" i="23"/>
  <c r="F94" i="23"/>
  <c r="E94" i="23"/>
  <c r="D92" i="23" l="1"/>
  <c r="F60" i="23"/>
  <c r="E60" i="23"/>
  <c r="E92" i="23" l="1"/>
  <c r="F92" i="23"/>
</calcChain>
</file>

<file path=xl/sharedStrings.xml><?xml version="1.0" encoding="utf-8"?>
<sst xmlns="http://schemas.openxmlformats.org/spreadsheetml/2006/main" count="2522" uniqueCount="203">
  <si>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</si>
  <si>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</si>
  <si>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</si>
  <si>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</si>
  <si>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</si>
  <si>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</si>
  <si>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</si>
  <si>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</si>
  <si>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</si>
  <si>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</si>
  <si>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</si>
  <si>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</si>
  <si>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</si>
  <si>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</si>
  <si>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</si>
  <si>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</si>
  <si>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</si>
  <si>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</si>
  <si>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</si>
  <si>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</si>
  <si>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</si>
  <si>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</si>
  <si>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</si>
  <si>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</si>
  <si>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</si>
  <si>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</si>
  <si>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</si>
  <si>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</si>
  <si>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</si>
  <si>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</si>
  <si>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</si>
  <si>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</si>
  <si>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</si>
  <si>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</si>
  <si>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</si>
  <si>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</si>
  <si>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</si>
  <si>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</si>
  <si>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</si>
  <si>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</si>
  <si>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</si>
  <si>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</si>
  <si>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</si>
  <si>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</si>
  <si>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</si>
  <si>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</si>
  <si>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</si>
  <si>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</si>
  <si>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</si>
  <si>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</si>
  <si>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</si>
  <si>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</si>
  <si>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</si>
  <si>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</si>
  <si>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</si>
  <si>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</si>
  <si>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</si>
  <si>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</si>
  <si>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</si>
  <si>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</si>
  <si>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</si>
  <si>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</si>
  <si>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</si>
  <si>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</si>
  <si>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</si>
  <si>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</si>
  <si>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</si>
  <si>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</si>
  <si>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</si>
  <si>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</si>
  <si>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</si>
  <si>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</si>
  <si>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</si>
  <si>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</si>
  <si>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</si>
  <si>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</si>
  <si>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</si>
  <si>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</si>
  <si>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</si>
  <si>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</si>
  <si>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</si>
  <si>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</si>
  <si>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</si>
  <si>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</si>
  <si>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</si>
  <si>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</si>
  <si>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</si>
  <si>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</si>
  <si>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</si>
  <si>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</si>
  <si>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</si>
  <si>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</si>
  <si>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</si>
  <si>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</si>
  <si>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</si>
  <si>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</si>
  <si>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</si>
  <si>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</si>
  <si>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</si>
  <si>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</si>
  <si>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</si>
  <si>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</si>
  <si>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</si>
  <si>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</si>
  <si>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</si>
  <si>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</si>
  <si>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</si>
  <si>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</si>
  <si>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</si>
  <si>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</si>
  <si>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</si>
  <si>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</si>
  <si>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</si>
  <si>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</si>
  <si>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</si>
  <si>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</si>
  <si>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</si>
  <si>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</si>
  <si>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</si>
  <si>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</si>
  <si>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</si>
  <si>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</si>
  <si>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</si>
  <si>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</si>
  <si>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</si>
  <si>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</si>
  <si>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</si>
  <si>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</si>
  <si>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</si>
  <si>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</si>
  <si>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</si>
  <si>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</si>
  <si>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</si>
  <si>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</si>
  <si>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</si>
  <si>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</si>
  <si>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</si>
  <si>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</si>
  <si>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</si>
  <si>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</si>
  <si>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</si>
  <si>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</si>
  <si>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</si>
  <si>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</si>
  <si>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</si>
  <si>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</si>
  <si>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</si>
  <si>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</si>
  <si>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</si>
  <si>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</si>
  <si>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</si>
  <si>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</si>
  <si>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</si>
  <si>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</si>
  <si>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</si>
  <si>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</si>
  <si>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</si>
  <si>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</si>
  <si>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</si>
  <si>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</si>
  <si>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</si>
  <si>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</si>
  <si>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</si>
  <si>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</si>
  <si>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</si>
  <si>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</si>
  <si>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</si>
  <si>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</si>
  <si>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</si>
  <si>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</si>
  <si>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</si>
  <si>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</si>
  <si>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</si>
  <si>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</si>
  <si>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</si>
  <si>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</si>
  <si>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</si>
  <si>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</si>
  <si>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</si>
  <si>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</si>
  <si>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</si>
  <si>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</si>
  <si>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</si>
  <si>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</si>
  <si>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</si>
  <si>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</si>
  <si>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</si>
  <si>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</si>
  <si>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</si>
  <si>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</si>
  <si>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</si>
  <si>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</si>
  <si>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</si>
  <si>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</si>
  <si>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</si>
  <si>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Plan na
2018 rok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</si>
  <si>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</si>
  <si>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</si>
  <si>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</si>
  <si>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</si>
  <si>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</si>
  <si>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</si>
  <si>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>ZMIANA PLANU FINANSOWEGO NARODOWEGO FUNDUSZU ZDROWIA NA 2018 ROK Z DNIA 14 CZERWCA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</si>
</sst>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3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dyta/2018/Zmiana%20planu%2006.06.2018%20-%20RM/Zmiana%20planu%2006.06.2018%20r.%20-%20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FZ"/>
      <sheetName val="CENTRALA"/>
      <sheetName val="Razem OW"/>
      <sheetName val="Dolnośląski"/>
      <sheetName val="KujawskoPomorski"/>
      <sheetName val="Lubelski"/>
      <sheetName val="Lubuski"/>
      <sheetName val="Łódzki"/>
      <sheetName val="Małopolski"/>
      <sheetName val="Mazowiecki"/>
      <sheetName val="Opolski"/>
      <sheetName val="Podkarpacki"/>
      <sheetName val="Podlaski"/>
      <sheetName val="Pomorski"/>
      <sheetName val="Śląski"/>
      <sheetName val="Świętokrzyski"/>
      <sheetName val="WarmińskoMazurski"/>
      <sheetName val="Wielkopolski"/>
      <sheetName val="Zachodniopomorski"/>
      <sheetName val="Łącznie"/>
      <sheetName val="Plan po zm. łącznie  NFZ"/>
      <sheetName val="Zmiana planu 06.06.2018 r"/>
    </sheetNames>
    <sheetDataSet>
      <sheetData sheetId="0">
        <row r="7">
          <cell r="A7" t="str">
            <v>1.1</v>
          </cell>
          <cell r="B7" t="str">
            <v>od ZUS</v>
          </cell>
          <cell r="C7">
            <v>75773210</v>
          </cell>
          <cell r="D7">
            <v>75773210</v>
          </cell>
        </row>
        <row r="8">
          <cell r="A8" t="str">
            <v>1.2</v>
          </cell>
          <cell r="B8" t="str">
            <v>od KRUS</v>
          </cell>
          <cell r="C8">
            <v>3363966</v>
          </cell>
          <cell r="D8">
            <v>3363966</v>
          </cell>
        </row>
        <row r="9">
          <cell r="A9">
            <v>2</v>
          </cell>
          <cell r="B9" t="str">
            <v>Planowany odpis aktualizujący składkę należną (2.1 + 2.2)</v>
          </cell>
          <cell r="C9">
            <v>0</v>
          </cell>
          <cell r="D9">
            <v>0</v>
          </cell>
        </row>
        <row r="10">
          <cell r="A10" t="str">
            <v>2.1</v>
          </cell>
          <cell r="B10" t="str">
            <v>w stosunku do ZUS</v>
          </cell>
          <cell r="C10">
            <v>0</v>
          </cell>
          <cell r="D10">
            <v>0</v>
          </cell>
        </row>
        <row r="11">
          <cell r="A11" t="str">
            <v>2.2</v>
          </cell>
          <cell r="B11" t="str">
            <v>w stosunku do KRUS</v>
          </cell>
          <cell r="C11">
            <v>0</v>
          </cell>
          <cell r="D11">
            <v>0</v>
          </cell>
        </row>
        <row r="12">
          <cell r="A12">
            <v>3</v>
          </cell>
          <cell r="B12" t="str">
            <v>Przychody ze składek z lat ubiegłych (3.1+3.2)</v>
          </cell>
          <cell r="C12">
            <v>150000</v>
          </cell>
          <cell r="D12">
            <v>150000</v>
          </cell>
        </row>
        <row r="13">
          <cell r="A13" t="str">
            <v>3.1</v>
          </cell>
          <cell r="B13" t="str">
            <v>od ZUS</v>
          </cell>
          <cell r="C13">
            <v>150000</v>
          </cell>
          <cell r="D13">
            <v>150000</v>
          </cell>
        </row>
        <row r="14">
          <cell r="A14" t="str">
            <v>3.2</v>
          </cell>
          <cell r="B14" t="str">
            <v>od KRUS</v>
          </cell>
          <cell r="C14">
            <v>0</v>
          </cell>
          <cell r="D14">
            <v>0</v>
          </cell>
        </row>
        <row r="15">
          <cell r="A15">
            <v>4</v>
          </cell>
          <cell r="B15" t="str">
            <v>Koszt poboru i ewidencjonowania składek (4.1 + 4.2)</v>
          </cell>
          <cell r="C15">
            <v>154550</v>
          </cell>
          <cell r="D15">
            <v>154550</v>
          </cell>
        </row>
        <row r="16">
          <cell r="A16" t="str">
            <v>4.1</v>
          </cell>
          <cell r="B16" t="str">
            <v>koszty poboru i ewidencjonowania składek przez ZUS</v>
          </cell>
          <cell r="C16">
            <v>151546</v>
          </cell>
          <cell r="D16">
            <v>151546</v>
          </cell>
        </row>
        <row r="17">
          <cell r="A17" t="str">
            <v>4.2</v>
          </cell>
          <cell r="B17" t="str">
            <v>koszty poboru i ewidencjonowania składek przez KRUS</v>
          </cell>
          <cell r="C17">
            <v>3004</v>
          </cell>
          <cell r="D17">
            <v>3004</v>
          </cell>
        </row>
        <row r="18">
          <cell r="A18">
            <v>5</v>
          </cell>
          <cell r="B18" t="str">
            <v>Odpis dla Agencji Oceny Technologii Medycznych i Taryfikacji, o którym mowa w art. 31t ust. 5-9 ustawy</v>
          </cell>
          <cell r="C18">
            <v>26148</v>
          </cell>
          <cell r="D18">
            <v>26148</v>
          </cell>
        </row>
        <row r="19">
          <cell r="A19" t="str">
            <v>A</v>
          </cell>
          <cell r="B19" t="str">
            <v>Przychody netto z działalności
(1-2+3-4-5) + A1 + A2 + A3 + A4</v>
          </cell>
          <cell r="C19">
            <v>82697480</v>
          </cell>
          <cell r="D19">
            <v>82704568</v>
          </cell>
        </row>
        <row r="20">
          <cell r="A20" t="str">
            <v>A1</v>
          </cell>
          <cell r="B20" t="str">
            <v>przychody wynikające z przepisów o koordynacji</v>
          </cell>
          <cell r="C20">
            <v>241860</v>
          </cell>
          <cell r="D20">
            <v>241860</v>
          </cell>
        </row>
        <row r="21">
          <cell r="A21" t="str">
            <v>A2</v>
          </cell>
          <cell r="B21" t="str">
            <v>przychody z tytułu realizacji zadań zleconych</v>
          </cell>
          <cell r="C21">
            <v>4790</v>
          </cell>
          <cell r="D21">
            <v>4790</v>
          </cell>
        </row>
        <row r="22">
          <cell r="A22" t="str">
            <v>A3</v>
          </cell>
          <cell r="B22" t="str">
            <v>dotacje z budżetu państwa na finansowanie zadań, o których mowa w art. 97 ust. 3
pkt 2a-2c, 3 i 3b ustawy</v>
          </cell>
          <cell r="C22">
            <v>1412558</v>
          </cell>
          <cell r="D22">
            <v>1412558</v>
          </cell>
        </row>
        <row r="23">
          <cell r="A23" t="str">
            <v>A4</v>
          </cell>
          <cell r="B23" t="str">
            <v>dotacja z budżetu państwa na realizację zadań zespołów ratownictwa medycznego</v>
          </cell>
          <cell r="C23">
            <v>1931794</v>
          </cell>
          <cell r="D23">
            <v>1938882</v>
          </cell>
        </row>
        <row r="24">
          <cell r="A24" t="str">
            <v>B</v>
          </cell>
          <cell r="B24" t="str">
            <v>Koszty realizacji zadań (B1 + B2 + B3 + B4 + B5)</v>
          </cell>
          <cell r="C24">
            <v>81970345</v>
          </cell>
          <cell r="D24">
            <v>81977433</v>
          </cell>
        </row>
        <row r="25">
          <cell r="A25" t="str">
            <v>B1</v>
          </cell>
          <cell r="B25" t="str">
            <v>Obowiazkowy odpis na rezerwę ogólną</v>
          </cell>
          <cell r="C25">
            <v>510512</v>
          </cell>
          <cell r="D25">
            <v>510512</v>
          </cell>
        </row>
        <row r="26">
          <cell r="A26" t="str">
            <v>B2</v>
          </cell>
          <cell r="B26" t="str">
            <v>Koszty świadczeń opieki zdrowotnej  (B2.1 + … + B2.21)</v>
          </cell>
          <cell r="C26">
            <v>78879949</v>
          </cell>
          <cell r="D26">
            <v>78879949</v>
          </cell>
        </row>
        <row r="27">
          <cell r="A27" t="str">
            <v>B2.1</v>
          </cell>
          <cell r="B27" t="str">
            <v>podstawowa opieka zdrowotna</v>
          </cell>
          <cell r="C27">
            <v>10557295</v>
          </cell>
          <cell r="D27">
            <v>10557295</v>
          </cell>
        </row>
        <row r="28">
          <cell r="A28" t="str">
            <v>B2.2</v>
          </cell>
          <cell r="B28" t="str">
            <v>ambulatoryjna opieka specjalistyczna</v>
          </cell>
          <cell r="C28">
            <v>4525818</v>
          </cell>
          <cell r="D28">
            <v>4525818</v>
          </cell>
        </row>
        <row r="29">
          <cell r="A29" t="str">
            <v>B2.3</v>
          </cell>
          <cell r="B29" t="str">
            <v>leczenie szpitalne, w tym:</v>
          </cell>
          <cell r="C29">
            <v>40401386</v>
          </cell>
          <cell r="D29">
            <v>40401386</v>
          </cell>
        </row>
        <row r="30">
          <cell r="A30" t="str">
            <v>B2.3.1</v>
          </cell>
          <cell r="B30" t="str">
            <v>programy lekowe, w tym:</v>
          </cell>
          <cell r="C30">
            <v>3657717</v>
          </cell>
          <cell r="D30">
            <v>3657717</v>
          </cell>
        </row>
        <row r="31">
          <cell r="A31" t="str">
            <v>B2.3.1.1</v>
          </cell>
          <cell r="B31" t="str">
            <v>leki, środki spożywcze specjalnego przeznaczenia żywieniowego objęte programami lekowymi</v>
          </cell>
          <cell r="C31">
            <v>3326562</v>
          </cell>
          <cell r="D31">
            <v>3326562</v>
          </cell>
        </row>
        <row r="32">
          <cell r="A32" t="str">
            <v>B2.3.2</v>
          </cell>
          <cell r="B32" t="str">
            <v>chemioterapia, w tym:</v>
          </cell>
          <cell r="C32">
            <v>1456690</v>
          </cell>
          <cell r="D32">
            <v>1456690</v>
          </cell>
        </row>
        <row r="33">
          <cell r="A33" t="str">
            <v>B2.3.2.1</v>
          </cell>
          <cell r="B33" t="str">
            <v>leki stosowane w chemioterapii</v>
          </cell>
          <cell r="C33">
            <v>689133</v>
          </cell>
          <cell r="D33">
            <v>689133</v>
          </cell>
        </row>
        <row r="34">
          <cell r="A34" t="str">
            <v>B2.4</v>
          </cell>
          <cell r="B34" t="str">
            <v>opieka psychiatryczna i leczenie uzależnień</v>
          </cell>
          <cell r="C34">
            <v>2909944</v>
          </cell>
          <cell r="D34">
            <v>2909944</v>
          </cell>
        </row>
        <row r="35">
          <cell r="A35" t="str">
            <v>B2.5</v>
          </cell>
          <cell r="B35" t="str">
            <v>rehabilitacja lecznicza</v>
          </cell>
          <cell r="C35">
            <v>2401300</v>
          </cell>
          <cell r="D35">
            <v>2401300</v>
          </cell>
        </row>
        <row r="36">
          <cell r="A36" t="str">
            <v>B2.6</v>
          </cell>
          <cell r="B36" t="str">
            <v>świadczenia pielęgnacyjne i opiekuńcze w ramach opieki długoterminowej</v>
          </cell>
          <cell r="C36">
            <v>1576715</v>
          </cell>
          <cell r="D36">
            <v>1576715</v>
          </cell>
        </row>
        <row r="37">
          <cell r="A37" t="str">
            <v>B2.7</v>
          </cell>
          <cell r="B37" t="str">
            <v>opieka paliatywna i hospicyjna</v>
          </cell>
          <cell r="C37">
            <v>711703</v>
          </cell>
          <cell r="D37">
            <v>711703</v>
          </cell>
        </row>
        <row r="38">
          <cell r="A38" t="str">
            <v>B2.8</v>
          </cell>
          <cell r="B38" t="str">
            <v>leczenie stomatologiczne</v>
          </cell>
          <cell r="C38">
            <v>1881920</v>
          </cell>
          <cell r="D38">
            <v>1881920</v>
          </cell>
        </row>
        <row r="39">
          <cell r="A39" t="str">
            <v>B2.9</v>
          </cell>
          <cell r="B39" t="str">
            <v>lecznictwo uzdrowiskowe</v>
          </cell>
          <cell r="C39">
            <v>686124</v>
          </cell>
          <cell r="D39">
            <v>686124</v>
          </cell>
        </row>
        <row r="40">
          <cell r="A40" t="str">
            <v>B2.10</v>
          </cell>
          <cell r="B40" t="str">
            <v>pomoc doraźna i transport sanitarny</v>
          </cell>
          <cell r="C40">
            <v>51259</v>
          </cell>
          <cell r="D40">
            <v>51259</v>
          </cell>
        </row>
        <row r="41">
          <cell r="A41" t="str">
            <v>B2.11</v>
          </cell>
          <cell r="B41" t="str">
            <v>koszty profilaktycznych programów zdrowotnych finansowanych ze środków własnych Funduszu</v>
          </cell>
          <cell r="C41">
            <v>200116</v>
          </cell>
          <cell r="D41">
            <v>200116</v>
          </cell>
        </row>
        <row r="42">
          <cell r="A42" t="str">
            <v>B2.12</v>
          </cell>
          <cell r="B42" t="str">
            <v>świadczenia opieki zdrowotnej kontraktowane odrębnie</v>
          </cell>
          <cell r="C42">
            <v>2035317</v>
          </cell>
          <cell r="D42">
            <v>2035317</v>
          </cell>
        </row>
        <row r="43">
          <cell r="A43" t="str">
            <v>B2.13</v>
          </cell>
          <cell r="B43" t="str">
            <v>zaopatrzenie w wyroby medyczne oraz ich naprawa, o których mowa w ustawie o refundacji</v>
          </cell>
          <cell r="C43">
            <v>1066269</v>
          </cell>
          <cell r="D43">
            <v>1066269</v>
          </cell>
        </row>
        <row r="44">
          <cell r="A44" t="str">
            <v>B2.14</v>
          </cell>
          <cell r="B44" t="str">
            <v>refundacja, z tego:</v>
          </cell>
          <cell r="C44">
            <v>8432076</v>
          </cell>
          <cell r="D44">
            <v>8432076</v>
          </cell>
        </row>
        <row r="45">
          <cell r="A45" t="str">
            <v>B2.14.1</v>
          </cell>
          <cell r="B45" t="str">
            <v>refundacja leków, środków spożywczych specjalnego przeznaczenia żywieniowego oraz wyrobów medycznych dostępnych w aptece na receptę</v>
          </cell>
          <cell r="C45">
            <v>8396696</v>
          </cell>
          <cell r="D45">
            <v>8396696</v>
          </cell>
        </row>
        <row r="46">
          <cell r="A46" t="str">
            <v>B2.14.2</v>
          </cell>
          <cell r="B46" t="str">
            <v>refundacja leków, o których mowa w art. 15 ust. 2 pkt 17 ustawy</v>
          </cell>
          <cell r="C46">
            <v>21613</v>
          </cell>
          <cell r="D46">
            <v>21613</v>
          </cell>
        </row>
        <row r="47">
          <cell r="A47" t="str">
            <v>B2.14.3</v>
          </cell>
          <cell r="B47" t="str">
            <v>refundacja środków spożywczych specjalnego przeznaczenia żywieniowego, o których mowa w art. 15 ust. 2 pkt 18 ustawy</v>
          </cell>
          <cell r="C47">
            <v>13767</v>
          </cell>
          <cell r="D47">
            <v>13767</v>
          </cell>
        </row>
        <row r="48">
          <cell r="A48" t="str">
            <v>B2.15</v>
          </cell>
          <cell r="B48" t="str">
            <v>rezerwa na koszty realizacji zadań wynikajacych z przepisów o koordynacji</v>
          </cell>
          <cell r="C48">
            <v>668390</v>
          </cell>
          <cell r="D48">
            <v>668390</v>
          </cell>
        </row>
        <row r="49">
          <cell r="A49" t="str">
            <v>B2.16</v>
          </cell>
          <cell r="B49" t="str">
            <v>rezerwa na pokrycie kosztów świadczeń opieki zdrowotnej oraz refundacji leków, w tym:</v>
          </cell>
          <cell r="C49">
            <v>3765</v>
          </cell>
          <cell r="D49">
            <v>3765</v>
          </cell>
        </row>
        <row r="50">
          <cell r="A50" t="str">
            <v>B2.16.1</v>
          </cell>
          <cell r="B50" t="str">
            <v>rezerwa, o której mowa w art. 118 ust. 2 pkt 2 lit. c ustawy</v>
          </cell>
          <cell r="C50">
            <v>0</v>
          </cell>
          <cell r="D50">
            <v>0</v>
          </cell>
        </row>
        <row r="51">
          <cell r="A51" t="str">
            <v>B2.17</v>
          </cell>
          <cell r="B51" t="str">
            <v>rezerwa na koszty świadczeń opieki zdrowotnej w ramach migracji ubezpieczonych</v>
          </cell>
          <cell r="C51">
            <v>0</v>
          </cell>
          <cell r="D51">
            <v>0</v>
          </cell>
        </row>
        <row r="52">
          <cell r="A52" t="str">
            <v>B2.18</v>
          </cell>
          <cell r="B52" t="str">
            <v>koszty świadczeń opieki zdrowotnej z lat ubiegłych</v>
          </cell>
          <cell r="C52">
            <v>283921</v>
          </cell>
          <cell r="D52">
            <v>283921</v>
          </cell>
        </row>
        <row r="53">
          <cell r="A53" t="str">
            <v>B2.19</v>
          </cell>
          <cell r="B53" t="str">
            <v>rezerwa na koszty świadczeń opieki zdrowotnej udzielone w ramach transgranicznej opieki zdrowotnej</v>
          </cell>
          <cell r="C53">
            <v>404999</v>
          </cell>
          <cell r="D53">
            <v>404999</v>
          </cell>
        </row>
        <row r="54">
          <cell r="A54" t="str">
            <v>B2.20</v>
          </cell>
          <cell r="B54" t="str">
            <v>rezerwa na dofinansowanie programów polityki zdrowotnej na podstawie art. 48d ustawy</v>
          </cell>
          <cell r="C54">
            <v>22077</v>
          </cell>
          <cell r="D54">
            <v>22077</v>
          </cell>
        </row>
        <row r="55">
          <cell r="A55" t="str">
            <v>B2.21</v>
          </cell>
          <cell r="B55" t="str">
            <v>koszty świadczeń opieki zdrowotnej w ramach programów pilotażowych, o których mowa w art. 48e ustawy</v>
          </cell>
          <cell r="C55">
            <v>59555</v>
          </cell>
          <cell r="D55">
            <v>59555</v>
          </cell>
        </row>
        <row r="56">
          <cell r="A56" t="str">
            <v>B3</v>
          </cell>
          <cell r="B56" t="str">
            <v>Koszty programów polityki zdrowotnej realizowanych na zlecenie</v>
          </cell>
          <cell r="C56">
            <v>4790</v>
          </cell>
          <cell r="D56">
            <v>4790</v>
          </cell>
        </row>
        <row r="57">
          <cell r="A57" t="str">
            <v>B4</v>
          </cell>
          <cell r="B57" t="str">
            <v>Koszty realizacji zadań zespołów ratownictwa medycznego</v>
          </cell>
          <cell r="C57">
            <v>1931794</v>
          </cell>
          <cell r="D57">
            <v>1938882</v>
          </cell>
        </row>
        <row r="58">
          <cell r="A58" t="str">
            <v>B5</v>
          </cell>
          <cell r="B58" t="str">
            <v>Koszty finansowania leku, środka spożywczego specjalnego przeznaczenia żywieniowego oraz wyrobu medycznego w części finansowanej z budżetu państwa zgodnie z art. 43a ust. 3 ustawy</v>
          </cell>
          <cell r="C58">
            <v>643300</v>
          </cell>
          <cell r="D58">
            <v>643300</v>
          </cell>
        </row>
        <row r="59">
          <cell r="A59" t="str">
            <v>Bn</v>
          </cell>
          <cell r="B59" t="str">
            <v>Całkowity budżet na refundację
(B2.3.1.1+B2.3.2.1+B2.14+B2.16.1)</v>
          </cell>
          <cell r="C59">
            <v>12447771</v>
          </cell>
          <cell r="D59">
            <v>12447771</v>
          </cell>
        </row>
        <row r="60">
          <cell r="A60" t="str">
            <v>C</v>
          </cell>
          <cell r="B60" t="str">
            <v>WYNIK NA DZIAŁALNOŚCI (A - B)</v>
          </cell>
          <cell r="C60">
            <v>727135</v>
          </cell>
          <cell r="D60">
            <v>727135</v>
          </cell>
        </row>
        <row r="61">
          <cell r="A61" t="str">
            <v>D</v>
          </cell>
          <cell r="B61" t="str">
            <v>Koszty administracyjne (D1 + … + D8)</v>
          </cell>
          <cell r="C61">
            <v>785854</v>
          </cell>
          <cell r="D61">
            <v>785854</v>
          </cell>
        </row>
        <row r="62">
          <cell r="A62" t="str">
            <v>D1</v>
          </cell>
          <cell r="B62" t="str">
            <v>zużycie materiałów i energii</v>
          </cell>
          <cell r="C62">
            <v>25081</v>
          </cell>
          <cell r="D62">
            <v>25081</v>
          </cell>
        </row>
        <row r="63">
          <cell r="A63" t="str">
            <v>D2</v>
          </cell>
          <cell r="B63" t="str">
            <v>usługi obce</v>
          </cell>
          <cell r="C63">
            <v>194152</v>
          </cell>
          <cell r="D63">
            <v>194152</v>
          </cell>
        </row>
        <row r="64">
          <cell r="A64" t="str">
            <v>D3</v>
          </cell>
          <cell r="B64" t="str">
            <v>podatki i opłaty, z tego:</v>
          </cell>
          <cell r="C64">
            <v>5015</v>
          </cell>
          <cell r="D64">
            <v>5015</v>
          </cell>
        </row>
        <row r="65">
          <cell r="A65" t="str">
            <v>D3.1</v>
          </cell>
          <cell r="B65" t="str">
            <v>podatki stanowiące dochody własne jednostek samorządu terytorialnego, w tym:</v>
          </cell>
          <cell r="C65">
            <v>685</v>
          </cell>
          <cell r="D65">
            <v>685</v>
          </cell>
        </row>
        <row r="66">
          <cell r="A66" t="str">
            <v>D3.1.1</v>
          </cell>
          <cell r="B66" t="str">
            <v>podatek od nieruchomości</v>
          </cell>
          <cell r="C66">
            <v>682</v>
          </cell>
          <cell r="D66">
            <v>682</v>
          </cell>
        </row>
        <row r="67">
          <cell r="A67" t="str">
            <v>D3.2</v>
          </cell>
          <cell r="B67" t="str">
            <v>opłaty stanowiące dochody własne jednostek samorządu terytorialnego</v>
          </cell>
          <cell r="C67">
            <v>708</v>
          </cell>
          <cell r="D67">
            <v>708</v>
          </cell>
        </row>
        <row r="68">
          <cell r="A68" t="str">
            <v>D3.3</v>
          </cell>
          <cell r="B68" t="str">
            <v>VAT</v>
          </cell>
          <cell r="C68">
            <v>19</v>
          </cell>
          <cell r="D68">
            <v>19</v>
          </cell>
        </row>
        <row r="69">
          <cell r="A69" t="str">
            <v>D3.4</v>
          </cell>
          <cell r="B69" t="str">
            <v>podatek akcyzowy</v>
          </cell>
          <cell r="C69">
            <v>0</v>
          </cell>
          <cell r="D69">
            <v>0</v>
          </cell>
        </row>
        <row r="70">
          <cell r="A70" t="str">
            <v>D3.5</v>
          </cell>
          <cell r="B70" t="str">
            <v>wpłaty na PFRON</v>
          </cell>
          <cell r="C70">
            <v>2959</v>
          </cell>
          <cell r="D70">
            <v>2959</v>
          </cell>
        </row>
        <row r="71">
          <cell r="A71" t="str">
            <v>D3.6</v>
          </cell>
          <cell r="B71" t="str">
            <v>inne</v>
          </cell>
          <cell r="C71">
            <v>644</v>
          </cell>
          <cell r="D71">
            <v>644</v>
          </cell>
        </row>
        <row r="72">
          <cell r="A72" t="str">
            <v>D4</v>
          </cell>
          <cell r="B72" t="str">
            <v>wynagrodzenia, w tym:</v>
          </cell>
          <cell r="C72">
            <v>358578</v>
          </cell>
          <cell r="D72">
            <v>358578</v>
          </cell>
        </row>
        <row r="73">
          <cell r="A73" t="str">
            <v>D4.1</v>
          </cell>
          <cell r="B73" t="str">
            <v>wynagrodzenia bezosobowe</v>
          </cell>
          <cell r="C73">
            <v>1532</v>
          </cell>
          <cell r="D73">
            <v>1532</v>
          </cell>
        </row>
        <row r="74">
          <cell r="A74" t="str">
            <v>D5</v>
          </cell>
          <cell r="B74" t="str">
            <v>ubezpieczenie społeczne i inne świadczenia, z tego:</v>
          </cell>
          <cell r="C74">
            <v>81194</v>
          </cell>
          <cell r="D74">
            <v>81194</v>
          </cell>
        </row>
        <row r="75">
          <cell r="A75" t="str">
            <v>D5.1</v>
          </cell>
          <cell r="B75" t="str">
            <v>składki na Fundusz Ubezpieczeń Społecznych</v>
          </cell>
          <cell r="C75">
            <v>61397</v>
          </cell>
          <cell r="D75">
            <v>61397</v>
          </cell>
        </row>
        <row r="76">
          <cell r="A76" t="str">
            <v>D5.2</v>
          </cell>
          <cell r="B76" t="str">
            <v>składki na Fundusz Pracy</v>
          </cell>
          <cell r="C76">
            <v>8608</v>
          </cell>
          <cell r="D76">
            <v>8608</v>
          </cell>
        </row>
        <row r="77">
          <cell r="A77" t="str">
            <v>D5.3</v>
          </cell>
          <cell r="B77" t="str">
            <v>składki na Fundusz Gwarantowanych Świadczeń Pracowniczych</v>
          </cell>
          <cell r="C77">
            <v>0</v>
          </cell>
          <cell r="D77">
            <v>0</v>
          </cell>
        </row>
        <row r="78">
          <cell r="A78" t="str">
            <v>D5.4</v>
          </cell>
          <cell r="B78" t="str">
            <v>pozostałe świadczenia</v>
          </cell>
          <cell r="C78">
            <v>11189</v>
          </cell>
          <cell r="D78">
            <v>11189</v>
          </cell>
        </row>
        <row r="79">
          <cell r="A79" t="str">
            <v>D6</v>
          </cell>
          <cell r="B79" t="str">
            <v>koszty funkcjonowania Rady Funduszu</v>
          </cell>
          <cell r="C79">
            <v>50</v>
          </cell>
          <cell r="D79">
            <v>50</v>
          </cell>
        </row>
        <row r="80">
          <cell r="A80" t="str">
            <v>D7</v>
          </cell>
          <cell r="B80" t="str">
            <v>amortyzacja środków trwałych oraz wartości niematerialnych i prawnych</v>
          </cell>
          <cell r="C80">
            <v>114861</v>
          </cell>
          <cell r="D80">
            <v>114861</v>
          </cell>
        </row>
        <row r="81">
          <cell r="A81" t="str">
            <v>D8</v>
          </cell>
          <cell r="B81" t="str">
            <v>pozostałe koszty administracyjne</v>
          </cell>
          <cell r="C81">
            <v>6923</v>
          </cell>
          <cell r="D81">
            <v>6923</v>
          </cell>
        </row>
        <row r="82">
          <cell r="A82" t="str">
            <v>E</v>
          </cell>
          <cell r="B82" t="str">
            <v>Pozostałe przychody</v>
          </cell>
          <cell r="C82">
            <v>344044</v>
          </cell>
          <cell r="D82">
            <v>344044</v>
          </cell>
        </row>
        <row r="83">
          <cell r="A83" t="str">
            <v>F</v>
          </cell>
          <cell r="B83" t="str">
            <v>Pozostałe koszty (F1+ … +F4)</v>
          </cell>
          <cell r="C83">
            <v>256924</v>
          </cell>
          <cell r="D83">
            <v>256924</v>
          </cell>
        </row>
        <row r="84">
          <cell r="A84" t="str">
            <v>F1</v>
          </cell>
          <cell r="B84" t="str">
            <v>wydanie i utrzymanie kart ubezpieczenia (w tym części stałych i zamiennych książeczek usług medycznych) oraz recept</v>
          </cell>
          <cell r="C84">
            <v>1282</v>
          </cell>
          <cell r="D84">
            <v>1282</v>
          </cell>
        </row>
        <row r="85">
          <cell r="A85" t="str">
            <v>F2</v>
          </cell>
          <cell r="B85" t="str">
            <v>rezerwa na zobowiązania wynikające z postępowań sądowych</v>
          </cell>
          <cell r="C85">
            <v>192338</v>
          </cell>
          <cell r="D85">
            <v>192338</v>
          </cell>
        </row>
        <row r="86">
          <cell r="A86" t="str">
            <v>F3</v>
          </cell>
          <cell r="B86" t="str">
            <v>inne rezerwy</v>
          </cell>
          <cell r="C86">
            <v>21335</v>
          </cell>
          <cell r="D86">
            <v>21335</v>
          </cell>
        </row>
        <row r="87">
          <cell r="A87" t="str">
            <v>F4</v>
          </cell>
          <cell r="B87" t="str">
            <v>inne koszty</v>
          </cell>
          <cell r="C87">
            <v>41969</v>
          </cell>
          <cell r="D87">
            <v>41969</v>
          </cell>
        </row>
        <row r="88">
          <cell r="A88" t="str">
            <v>G</v>
          </cell>
          <cell r="B88" t="str">
            <v>Przychody finansowe (G1 + G2)</v>
          </cell>
          <cell r="C88">
            <v>54670</v>
          </cell>
          <cell r="D88">
            <v>54670</v>
          </cell>
        </row>
        <row r="89">
          <cell r="A89" t="str">
            <v>G1</v>
          </cell>
          <cell r="B89" t="str">
            <v xml:space="preserve">odsetki uzyskane z lokat </v>
          </cell>
          <cell r="C89">
            <v>47837</v>
          </cell>
          <cell r="D89">
            <v>47837</v>
          </cell>
        </row>
        <row r="90">
          <cell r="A90" t="str">
            <v>G2</v>
          </cell>
          <cell r="B90" t="str">
            <v>inne przychody finansowe</v>
          </cell>
          <cell r="C90">
            <v>6833</v>
          </cell>
          <cell r="D90">
            <v>6833</v>
          </cell>
        </row>
        <row r="91">
          <cell r="A91" t="str">
            <v>H</v>
          </cell>
          <cell r="B91" t="str">
            <v>Koszty finansowe</v>
          </cell>
          <cell r="C91">
            <v>83071</v>
          </cell>
          <cell r="D91">
            <v>83071</v>
          </cell>
        </row>
        <row r="92">
          <cell r="A92" t="str">
            <v>I</v>
          </cell>
          <cell r="B92" t="str">
            <v>WYNIK FINANSOWY OGÓŁEM NETTO
(C - D + E - F + G - H)</v>
          </cell>
          <cell r="C92">
            <v>0</v>
          </cell>
          <cell r="D92">
            <v>0</v>
          </cell>
        </row>
        <row r="93">
          <cell r="A93" t="str">
            <v>J</v>
          </cell>
          <cell r="B93" t="str">
            <v xml:space="preserve"> PRZYCHODY - ogółem</v>
          </cell>
          <cell r="C93">
            <v>83250744</v>
          </cell>
          <cell r="D93">
            <v>83257832</v>
          </cell>
        </row>
        <row r="94">
          <cell r="A94" t="str">
            <v>K</v>
          </cell>
          <cell r="B94" t="str">
            <v xml:space="preserve"> KOSZTY - ogółem</v>
          </cell>
          <cell r="C94">
            <v>83250744</v>
          </cell>
          <cell r="D94">
            <v>83257832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1">
        <row r="7">
          <cell r="A7" t="str">
            <v>B2.1</v>
          </cell>
          <cell r="B7" t="str">
            <v>podstawowa opieka zdrowotna</v>
          </cell>
          <cell r="C7">
            <v>0</v>
          </cell>
          <cell r="D7">
            <v>0</v>
          </cell>
        </row>
        <row r="8">
          <cell r="A8" t="str">
            <v>B2.2</v>
          </cell>
          <cell r="B8" t="str">
            <v>ambulatoryjna opieka specjalistyczna</v>
          </cell>
          <cell r="C8">
            <v>0</v>
          </cell>
          <cell r="D8">
            <v>0</v>
          </cell>
        </row>
        <row r="9">
          <cell r="A9" t="str">
            <v>B2.3</v>
          </cell>
          <cell r="B9" t="str">
            <v>leczenie szpitalne, w tym:</v>
          </cell>
          <cell r="C9">
            <v>0</v>
          </cell>
          <cell r="D9">
            <v>0</v>
          </cell>
        </row>
        <row r="10">
          <cell r="A10" t="str">
            <v>B2.3.1</v>
          </cell>
          <cell r="B10" t="str">
            <v>programy lekowe, w tym:</v>
          </cell>
          <cell r="C10">
            <v>0</v>
          </cell>
          <cell r="D10">
            <v>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0</v>
          </cell>
          <cell r="D11">
            <v>0</v>
          </cell>
        </row>
        <row r="12">
          <cell r="A12" t="str">
            <v>B2.3.2</v>
          </cell>
          <cell r="B12" t="str">
            <v>chemioterapia, w tym:</v>
          </cell>
          <cell r="C12">
            <v>0</v>
          </cell>
          <cell r="D12">
            <v>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0</v>
          </cell>
          <cell r="D13">
            <v>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0</v>
          </cell>
          <cell r="D14">
            <v>0</v>
          </cell>
        </row>
        <row r="15">
          <cell r="A15" t="str">
            <v>B2.5</v>
          </cell>
          <cell r="B15" t="str">
            <v>rehabilitacja lecznicza</v>
          </cell>
          <cell r="C15">
            <v>0</v>
          </cell>
          <cell r="D15">
            <v>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0</v>
          </cell>
          <cell r="D16">
            <v>0</v>
          </cell>
        </row>
        <row r="17">
          <cell r="A17" t="str">
            <v>B2.7</v>
          </cell>
          <cell r="B17" t="str">
            <v>opieka paliatywna i hospicyjna</v>
          </cell>
          <cell r="C17">
            <v>0</v>
          </cell>
          <cell r="D17">
            <v>0</v>
          </cell>
        </row>
        <row r="18">
          <cell r="A18" t="str">
            <v>B2.8</v>
          </cell>
          <cell r="B18" t="str">
            <v>leczenie stomatologiczne</v>
          </cell>
          <cell r="C18">
            <v>0</v>
          </cell>
          <cell r="D18">
            <v>0</v>
          </cell>
        </row>
        <row r="19">
          <cell r="A19" t="str">
            <v>B2.9</v>
          </cell>
          <cell r="B19" t="str">
            <v>lecznictwo uzdrowiskowe</v>
          </cell>
          <cell r="C19">
            <v>0</v>
          </cell>
          <cell r="D19">
            <v>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0</v>
          </cell>
          <cell r="D20">
            <v>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0</v>
          </cell>
          <cell r="D21">
            <v>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0</v>
          </cell>
          <cell r="D22">
            <v>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0</v>
          </cell>
          <cell r="D23">
            <v>0</v>
          </cell>
        </row>
        <row r="24">
          <cell r="A24" t="str">
            <v>B2.14</v>
          </cell>
          <cell r="B24" t="str">
            <v>refundacja, z tego:</v>
          </cell>
          <cell r="C24">
            <v>0</v>
          </cell>
          <cell r="D24">
            <v>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0</v>
          </cell>
          <cell r="D25">
            <v>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0</v>
          </cell>
          <cell r="D26">
            <v>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0</v>
          </cell>
          <cell r="D27">
            <v>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668390</v>
          </cell>
          <cell r="D28">
            <v>668390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404999</v>
          </cell>
          <cell r="D33">
            <v>404999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0</v>
          </cell>
          <cell r="D35">
            <v>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0</v>
          </cell>
          <cell r="D37">
            <v>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0</v>
          </cell>
          <cell r="D38">
            <v>0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0</v>
          </cell>
          <cell r="D39">
            <v>0</v>
          </cell>
        </row>
        <row r="40">
          <cell r="A40" t="str">
            <v>D</v>
          </cell>
          <cell r="B40" t="str">
            <v>Koszty administracyjne ( D1+...+D8 )</v>
          </cell>
          <cell r="C40">
            <v>253884</v>
          </cell>
          <cell r="D40">
            <v>253884</v>
          </cell>
        </row>
        <row r="41">
          <cell r="A41" t="str">
            <v>D1</v>
          </cell>
          <cell r="B41" t="str">
            <v>zużycie materiałów i energii</v>
          </cell>
          <cell r="C41">
            <v>3688</v>
          </cell>
          <cell r="D41">
            <v>3688</v>
          </cell>
        </row>
        <row r="42">
          <cell r="A42" t="str">
            <v>D2</v>
          </cell>
          <cell r="B42" t="str">
            <v>usługi obce</v>
          </cell>
          <cell r="C42">
            <v>120484</v>
          </cell>
          <cell r="D42">
            <v>120484</v>
          </cell>
        </row>
        <row r="43">
          <cell r="A43" t="str">
            <v>D3</v>
          </cell>
          <cell r="B43" t="str">
            <v>podatki i opłaty, z tego</v>
          </cell>
          <cell r="C43">
            <v>1024</v>
          </cell>
          <cell r="D43">
            <v>1024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100</v>
          </cell>
          <cell r="D44">
            <v>100</v>
          </cell>
        </row>
        <row r="45">
          <cell r="A45" t="str">
            <v>D3.1.1</v>
          </cell>
          <cell r="B45" t="str">
            <v>podatek od nieruchomości</v>
          </cell>
          <cell r="C45">
            <v>100</v>
          </cell>
          <cell r="D45">
            <v>100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94</v>
          </cell>
          <cell r="D46">
            <v>94</v>
          </cell>
        </row>
        <row r="47">
          <cell r="A47" t="str">
            <v>D3.3</v>
          </cell>
          <cell r="B47" t="str">
            <v>VAT</v>
          </cell>
          <cell r="C47">
            <v>17</v>
          </cell>
          <cell r="D47">
            <v>17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452</v>
          </cell>
          <cell r="D49">
            <v>452</v>
          </cell>
        </row>
        <row r="50">
          <cell r="A50" t="str">
            <v>D3.6</v>
          </cell>
          <cell r="B50" t="str">
            <v>inne</v>
          </cell>
          <cell r="C50">
            <v>361</v>
          </cell>
          <cell r="D50">
            <v>361</v>
          </cell>
        </row>
        <row r="51">
          <cell r="A51" t="str">
            <v>D4</v>
          </cell>
          <cell r="B51" t="str">
            <v>wynagrodzenia, w tym:</v>
          </cell>
          <cell r="C51">
            <v>46643</v>
          </cell>
          <cell r="D51">
            <v>46643</v>
          </cell>
        </row>
        <row r="52">
          <cell r="A52" t="str">
            <v>D4.1</v>
          </cell>
          <cell r="B52" t="str">
            <v>wynagrodzenia bezosobowe</v>
          </cell>
          <cell r="C52">
            <v>423</v>
          </cell>
          <cell r="D52">
            <v>423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11241</v>
          </cell>
          <cell r="D53">
            <v>11241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8018</v>
          </cell>
          <cell r="D54">
            <v>8018</v>
          </cell>
        </row>
        <row r="55">
          <cell r="A55" t="str">
            <v>D5.2</v>
          </cell>
          <cell r="B55" t="str">
            <v>składki na Fundusz Pracy</v>
          </cell>
          <cell r="C55">
            <v>1144</v>
          </cell>
          <cell r="D55">
            <v>1144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2079</v>
          </cell>
          <cell r="D57">
            <v>2079</v>
          </cell>
        </row>
        <row r="58">
          <cell r="A58" t="str">
            <v>D6</v>
          </cell>
          <cell r="B58" t="str">
            <v>koszty funkcjonowania Rady Funduszu</v>
          </cell>
          <cell r="C58">
            <v>50</v>
          </cell>
          <cell r="D58">
            <v>50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68377</v>
          </cell>
          <cell r="D59">
            <v>68377</v>
          </cell>
        </row>
        <row r="60">
          <cell r="A60" t="str">
            <v>D8</v>
          </cell>
          <cell r="B60" t="str">
            <v>pozostałe koszty administracyjne</v>
          </cell>
          <cell r="C60">
            <v>2377</v>
          </cell>
          <cell r="D60">
            <v>2377</v>
          </cell>
        </row>
        <row r="61">
          <cell r="A61" t="str">
            <v>F</v>
          </cell>
          <cell r="B61" t="str">
            <v>Pozostałe koszty (F1+...+F4)</v>
          </cell>
          <cell r="C61">
            <v>29017</v>
          </cell>
          <cell r="D61">
            <v>29017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875</v>
          </cell>
          <cell r="D62">
            <v>875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1180</v>
          </cell>
          <cell r="D63">
            <v>1180</v>
          </cell>
        </row>
        <row r="64">
          <cell r="A64" t="str">
            <v>F3</v>
          </cell>
          <cell r="B64" t="str">
            <v>inne rezerwy</v>
          </cell>
          <cell r="C64">
            <v>21335</v>
          </cell>
          <cell r="D64">
            <v>21335</v>
          </cell>
        </row>
        <row r="65">
          <cell r="A65" t="str">
            <v>F4</v>
          </cell>
          <cell r="B65" t="str">
            <v>inne koszty</v>
          </cell>
          <cell r="C65">
            <v>5627</v>
          </cell>
          <cell r="D65">
            <v>5627</v>
          </cell>
        </row>
        <row r="66">
          <cell r="A66" t="str">
            <v>H</v>
          </cell>
          <cell r="B66" t="str">
            <v>Koszty finansowe</v>
          </cell>
          <cell r="C66">
            <v>30182</v>
          </cell>
          <cell r="D66">
            <v>30182</v>
          </cell>
        </row>
        <row r="72">
          <cell r="C72">
            <v>0</v>
          </cell>
        </row>
      </sheetData>
      <sheetData sheetId="2"/>
      <sheetData sheetId="3">
        <row r="7">
          <cell r="A7" t="str">
            <v>B2.1</v>
          </cell>
          <cell r="B7" t="str">
            <v>podstawowa opieka zdrowotna</v>
          </cell>
          <cell r="C7">
            <v>765250</v>
          </cell>
          <cell r="D7">
            <v>765250</v>
          </cell>
        </row>
        <row r="8">
          <cell r="A8" t="str">
            <v>B2.2</v>
          </cell>
          <cell r="B8" t="str">
            <v>ambulatoryjna opieka specjalistyczna</v>
          </cell>
          <cell r="C8">
            <v>374077</v>
          </cell>
          <cell r="D8">
            <v>374077</v>
          </cell>
        </row>
        <row r="9">
          <cell r="A9" t="str">
            <v>B2.3</v>
          </cell>
          <cell r="B9" t="str">
            <v>leczenie szpitalne, w tym:</v>
          </cell>
          <cell r="C9">
            <v>3037265</v>
          </cell>
          <cell r="D9">
            <v>3037265</v>
          </cell>
        </row>
        <row r="10">
          <cell r="A10" t="str">
            <v>B2.3.1</v>
          </cell>
          <cell r="B10" t="str">
            <v>programy lekowe, w tym:</v>
          </cell>
          <cell r="C10">
            <v>294681</v>
          </cell>
          <cell r="D10">
            <v>294681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269532</v>
          </cell>
          <cell r="D11">
            <v>269532</v>
          </cell>
        </row>
        <row r="12">
          <cell r="A12" t="str">
            <v>B2.3.2</v>
          </cell>
          <cell r="B12" t="str">
            <v>chemioterapia, w tym:</v>
          </cell>
          <cell r="C12">
            <v>112295</v>
          </cell>
          <cell r="D12">
            <v>112295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53521</v>
          </cell>
          <cell r="D13">
            <v>53521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238270</v>
          </cell>
          <cell r="D14">
            <v>238270</v>
          </cell>
        </row>
        <row r="15">
          <cell r="A15" t="str">
            <v>B2.5</v>
          </cell>
          <cell r="B15" t="str">
            <v>rehabilitacja lecznicza</v>
          </cell>
          <cell r="C15">
            <v>178829</v>
          </cell>
          <cell r="D15">
            <v>178829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126330</v>
          </cell>
          <cell r="D16">
            <v>126330</v>
          </cell>
        </row>
        <row r="17">
          <cell r="A17" t="str">
            <v>B2.7</v>
          </cell>
          <cell r="B17" t="str">
            <v>opieka paliatywna i hospicyjna</v>
          </cell>
          <cell r="C17">
            <v>65697</v>
          </cell>
          <cell r="D17">
            <v>65697</v>
          </cell>
        </row>
        <row r="18">
          <cell r="A18" t="str">
            <v>B2.8</v>
          </cell>
          <cell r="B18" t="str">
            <v>leczenie stomatologiczne</v>
          </cell>
          <cell r="C18">
            <v>123104</v>
          </cell>
          <cell r="D18">
            <v>123104</v>
          </cell>
        </row>
        <row r="19">
          <cell r="A19" t="str">
            <v>B2.9</v>
          </cell>
          <cell r="B19" t="str">
            <v>lecznictwo uzdrowiskowe</v>
          </cell>
          <cell r="C19">
            <v>67828</v>
          </cell>
          <cell r="D19">
            <v>67828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4892</v>
          </cell>
          <cell r="D20">
            <v>4892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15474</v>
          </cell>
          <cell r="D21">
            <v>15474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135181</v>
          </cell>
          <cell r="D22">
            <v>135181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88100</v>
          </cell>
          <cell r="D23">
            <v>88100</v>
          </cell>
        </row>
        <row r="24">
          <cell r="A24" t="str">
            <v>B2.14</v>
          </cell>
          <cell r="B24" t="str">
            <v>refundacja, z tego:</v>
          </cell>
          <cell r="C24">
            <v>611700</v>
          </cell>
          <cell r="D24">
            <v>611700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609700</v>
          </cell>
          <cell r="D25">
            <v>609700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15821</v>
          </cell>
          <cell r="D32">
            <v>15821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4135</v>
          </cell>
          <cell r="D35">
            <v>4135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612</v>
          </cell>
          <cell r="D36">
            <v>612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146872</v>
          </cell>
          <cell r="D37">
            <v>146872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49029</v>
          </cell>
          <cell r="D38">
            <v>49029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934753</v>
          </cell>
          <cell r="D39">
            <v>934753</v>
          </cell>
        </row>
        <row r="40">
          <cell r="A40" t="str">
            <v>D</v>
          </cell>
          <cell r="B40" t="str">
            <v>Koszty administracyjne ( D1+...+D8 )</v>
          </cell>
          <cell r="C40">
            <v>36268</v>
          </cell>
          <cell r="D40">
            <v>36268</v>
          </cell>
        </row>
        <row r="41">
          <cell r="A41" t="str">
            <v>D1</v>
          </cell>
          <cell r="B41" t="str">
            <v>zużycie materiałów i energii</v>
          </cell>
          <cell r="C41">
            <v>1429</v>
          </cell>
          <cell r="D41">
            <v>1429</v>
          </cell>
        </row>
        <row r="42">
          <cell r="A42" t="str">
            <v>D2</v>
          </cell>
          <cell r="B42" t="str">
            <v>usługi obce</v>
          </cell>
          <cell r="C42">
            <v>4911</v>
          </cell>
          <cell r="D42">
            <v>4911</v>
          </cell>
        </row>
        <row r="43">
          <cell r="A43" t="str">
            <v>D3</v>
          </cell>
          <cell r="B43" t="str">
            <v>podatki i opłaty, z tego</v>
          </cell>
          <cell r="C43">
            <v>359</v>
          </cell>
          <cell r="D43">
            <v>359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55</v>
          </cell>
          <cell r="D44">
            <v>55</v>
          </cell>
        </row>
        <row r="45">
          <cell r="A45" t="str">
            <v>D3.1.1</v>
          </cell>
          <cell r="B45" t="str">
            <v>podatek od nieruchomości</v>
          </cell>
          <cell r="C45">
            <v>55</v>
          </cell>
          <cell r="D45">
            <v>55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68</v>
          </cell>
          <cell r="D46">
            <v>68</v>
          </cell>
        </row>
        <row r="47">
          <cell r="A47" t="str">
            <v>D3.3</v>
          </cell>
          <cell r="B47" t="str">
            <v>VAT</v>
          </cell>
          <cell r="C47">
            <v>1</v>
          </cell>
          <cell r="D47">
            <v>1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233</v>
          </cell>
          <cell r="D49">
            <v>233</v>
          </cell>
        </row>
        <row r="50">
          <cell r="A50" t="str">
            <v>D3.6</v>
          </cell>
          <cell r="B50" t="str">
            <v>inne</v>
          </cell>
          <cell r="C50">
            <v>2</v>
          </cell>
          <cell r="D50">
            <v>2</v>
          </cell>
        </row>
        <row r="51">
          <cell r="A51" t="str">
            <v>D4</v>
          </cell>
          <cell r="B51" t="str">
            <v>wynagrodzenia, w tym:</v>
          </cell>
          <cell r="C51">
            <v>22409</v>
          </cell>
          <cell r="D51">
            <v>22409</v>
          </cell>
        </row>
        <row r="52">
          <cell r="A52" t="str">
            <v>D4.1</v>
          </cell>
          <cell r="B52" t="str">
            <v>wynagrodzenia bezosobowe</v>
          </cell>
          <cell r="C52">
            <v>100</v>
          </cell>
          <cell r="D52">
            <v>100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5026</v>
          </cell>
          <cell r="D53">
            <v>5026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3745</v>
          </cell>
          <cell r="D54">
            <v>3745</v>
          </cell>
        </row>
        <row r="55">
          <cell r="A55" t="str">
            <v>D5.2</v>
          </cell>
          <cell r="B55" t="str">
            <v>składki na Fundusz Pracy</v>
          </cell>
          <cell r="C55">
            <v>449</v>
          </cell>
          <cell r="D55">
            <v>449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832</v>
          </cell>
          <cell r="D57">
            <v>832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1933</v>
          </cell>
          <cell r="D59">
            <v>1933</v>
          </cell>
        </row>
        <row r="60">
          <cell r="A60" t="str">
            <v>D8</v>
          </cell>
          <cell r="B60" t="str">
            <v>pozostałe koszty administracyjne</v>
          </cell>
          <cell r="C60">
            <v>201</v>
          </cell>
          <cell r="D60">
            <v>201</v>
          </cell>
        </row>
        <row r="61">
          <cell r="A61" t="str">
            <v>F</v>
          </cell>
          <cell r="B61" t="str">
            <v>Pozostałe koszty (F1+...+F4)</v>
          </cell>
          <cell r="C61">
            <v>16705</v>
          </cell>
          <cell r="D61">
            <v>16705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15045</v>
          </cell>
          <cell r="D63">
            <v>15045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1660</v>
          </cell>
          <cell r="D65">
            <v>1660</v>
          </cell>
        </row>
        <row r="66">
          <cell r="A66" t="str">
            <v>H</v>
          </cell>
          <cell r="B66" t="str">
            <v>Koszty finansowe</v>
          </cell>
          <cell r="C66">
            <v>1981</v>
          </cell>
          <cell r="D66">
            <v>1981</v>
          </cell>
        </row>
      </sheetData>
      <sheetData sheetId="4">
        <row r="7">
          <cell r="A7" t="str">
            <v>B2.1</v>
          </cell>
          <cell r="B7" t="str">
            <v>podstawowa opieka zdrowotna</v>
          </cell>
          <cell r="C7">
            <v>570824</v>
          </cell>
          <cell r="D7">
            <v>570824</v>
          </cell>
        </row>
        <row r="8">
          <cell r="A8" t="str">
            <v>B2.2</v>
          </cell>
          <cell r="B8" t="str">
            <v>ambulatoryjna opieka specjalistyczna</v>
          </cell>
          <cell r="C8">
            <v>199861</v>
          </cell>
          <cell r="D8">
            <v>199861</v>
          </cell>
        </row>
        <row r="9">
          <cell r="A9" t="str">
            <v>B2.3</v>
          </cell>
          <cell r="B9" t="str">
            <v>leczenie szpitalne, w tym:</v>
          </cell>
          <cell r="C9">
            <v>2159130</v>
          </cell>
          <cell r="D9">
            <v>2159130</v>
          </cell>
        </row>
        <row r="10">
          <cell r="A10" t="str">
            <v>B2.3.1</v>
          </cell>
          <cell r="B10" t="str">
            <v>programy lekowe, w tym:</v>
          </cell>
          <cell r="C10">
            <v>181796</v>
          </cell>
          <cell r="D10">
            <v>181796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164652</v>
          </cell>
          <cell r="D11">
            <v>164652</v>
          </cell>
        </row>
        <row r="12">
          <cell r="A12" t="str">
            <v>B2.3.2</v>
          </cell>
          <cell r="B12" t="str">
            <v>chemioterapia, w tym:</v>
          </cell>
          <cell r="C12">
            <v>67955</v>
          </cell>
          <cell r="D12">
            <v>67955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36995</v>
          </cell>
          <cell r="D13">
            <v>36995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156216</v>
          </cell>
          <cell r="D14">
            <v>156216</v>
          </cell>
        </row>
        <row r="15">
          <cell r="A15" t="str">
            <v>B2.5</v>
          </cell>
          <cell r="B15" t="str">
            <v>rehabilitacja lecznicza</v>
          </cell>
          <cell r="C15">
            <v>117602</v>
          </cell>
          <cell r="D15">
            <v>117602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71182</v>
          </cell>
          <cell r="D16">
            <v>71182</v>
          </cell>
        </row>
        <row r="17">
          <cell r="A17" t="str">
            <v>B2.7</v>
          </cell>
          <cell r="B17" t="str">
            <v>opieka paliatywna i hospicyjna</v>
          </cell>
          <cell r="C17">
            <v>47060</v>
          </cell>
          <cell r="D17">
            <v>47060</v>
          </cell>
        </row>
        <row r="18">
          <cell r="A18" t="str">
            <v>B2.8</v>
          </cell>
          <cell r="B18" t="str">
            <v>leczenie stomatologiczne</v>
          </cell>
          <cell r="C18">
            <v>100887</v>
          </cell>
          <cell r="D18">
            <v>100887</v>
          </cell>
        </row>
        <row r="19">
          <cell r="A19" t="str">
            <v>B2.9</v>
          </cell>
          <cell r="B19" t="str">
            <v>lecznictwo uzdrowiskowe</v>
          </cell>
          <cell r="C19">
            <v>37732</v>
          </cell>
          <cell r="D19">
            <v>37732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3050</v>
          </cell>
          <cell r="D20">
            <v>3050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12470</v>
          </cell>
          <cell r="D21">
            <v>12470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113120</v>
          </cell>
          <cell r="D22">
            <v>113120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53000</v>
          </cell>
          <cell r="D23">
            <v>53000</v>
          </cell>
        </row>
        <row r="24">
          <cell r="A24" t="str">
            <v>B2.14</v>
          </cell>
          <cell r="B24" t="str">
            <v>refundacja, z tego:</v>
          </cell>
          <cell r="C24">
            <v>500033</v>
          </cell>
          <cell r="D24">
            <v>500033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499000</v>
          </cell>
          <cell r="D25">
            <v>499000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433</v>
          </cell>
          <cell r="D27">
            <v>433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13177</v>
          </cell>
          <cell r="D32">
            <v>13177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</v>
          </cell>
          <cell r="D34">
            <v>200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2785</v>
          </cell>
          <cell r="D35">
            <v>2785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115646</v>
          </cell>
          <cell r="D37">
            <v>115646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32446</v>
          </cell>
          <cell r="D38">
            <v>32446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701680</v>
          </cell>
          <cell r="D39">
            <v>701680</v>
          </cell>
        </row>
        <row r="40">
          <cell r="A40" t="str">
            <v>D</v>
          </cell>
          <cell r="B40" t="str">
            <v>Koszty administracyjne ( D1+...+D8 )</v>
          </cell>
          <cell r="C40">
            <v>33024</v>
          </cell>
          <cell r="D40">
            <v>33024</v>
          </cell>
        </row>
        <row r="41">
          <cell r="A41" t="str">
            <v>D1</v>
          </cell>
          <cell r="B41" t="str">
            <v>zużycie materiałów i energii</v>
          </cell>
          <cell r="C41">
            <v>1660</v>
          </cell>
          <cell r="D41">
            <v>1660</v>
          </cell>
        </row>
        <row r="42">
          <cell r="A42" t="str">
            <v>D2</v>
          </cell>
          <cell r="B42" t="str">
            <v>usługi obce</v>
          </cell>
          <cell r="C42">
            <v>5217</v>
          </cell>
          <cell r="D42">
            <v>5217</v>
          </cell>
        </row>
        <row r="43">
          <cell r="A43" t="str">
            <v>D3</v>
          </cell>
          <cell r="B43" t="str">
            <v>podatki i opłaty, z tego</v>
          </cell>
          <cell r="C43">
            <v>302</v>
          </cell>
          <cell r="D43">
            <v>302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82</v>
          </cell>
          <cell r="D44">
            <v>82</v>
          </cell>
        </row>
        <row r="45">
          <cell r="A45" t="str">
            <v>D3.1.1</v>
          </cell>
          <cell r="B45" t="str">
            <v>podatek od nieruchomości</v>
          </cell>
          <cell r="C45">
            <v>82</v>
          </cell>
          <cell r="D45">
            <v>82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25</v>
          </cell>
          <cell r="D46">
            <v>25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180</v>
          </cell>
          <cell r="D49">
            <v>180</v>
          </cell>
        </row>
        <row r="50">
          <cell r="A50" t="str">
            <v>D3.6</v>
          </cell>
          <cell r="B50" t="str">
            <v>inne</v>
          </cell>
          <cell r="C50">
            <v>15</v>
          </cell>
          <cell r="D50">
            <v>15</v>
          </cell>
        </row>
        <row r="51">
          <cell r="A51" t="str">
            <v>D4</v>
          </cell>
          <cell r="B51" t="str">
            <v>wynagrodzenia, w tym:</v>
          </cell>
          <cell r="C51">
            <v>15812</v>
          </cell>
          <cell r="D51">
            <v>15812</v>
          </cell>
        </row>
        <row r="52">
          <cell r="A52" t="str">
            <v>D4.1</v>
          </cell>
          <cell r="B52" t="str">
            <v>wynagrodzenia bezosobowe</v>
          </cell>
          <cell r="C52">
            <v>0</v>
          </cell>
          <cell r="D52">
            <v>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3545</v>
          </cell>
          <cell r="D53">
            <v>3545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2647</v>
          </cell>
          <cell r="D54">
            <v>2647</v>
          </cell>
        </row>
        <row r="55">
          <cell r="A55" t="str">
            <v>D5.2</v>
          </cell>
          <cell r="B55" t="str">
            <v>składki na Fundusz Pracy</v>
          </cell>
          <cell r="C55">
            <v>306</v>
          </cell>
          <cell r="D55">
            <v>306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592</v>
          </cell>
          <cell r="D57">
            <v>592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6070</v>
          </cell>
          <cell r="D59">
            <v>6070</v>
          </cell>
        </row>
        <row r="60">
          <cell r="A60" t="str">
            <v>D8</v>
          </cell>
          <cell r="B60" t="str">
            <v>pozostałe koszty administracyjne</v>
          </cell>
          <cell r="C60">
            <v>418</v>
          </cell>
          <cell r="D60">
            <v>418</v>
          </cell>
        </row>
        <row r="61">
          <cell r="A61" t="str">
            <v>F</v>
          </cell>
          <cell r="B61" t="str">
            <v>Pozostałe koszty (F1+...+F4)</v>
          </cell>
          <cell r="C61">
            <v>45001</v>
          </cell>
          <cell r="D61">
            <v>45001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38601</v>
          </cell>
          <cell r="D63">
            <v>38601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6400</v>
          </cell>
          <cell r="D65">
            <v>6400</v>
          </cell>
        </row>
        <row r="66">
          <cell r="A66" t="str">
            <v>H</v>
          </cell>
          <cell r="B66" t="str">
            <v>Koszty finansowe</v>
          </cell>
          <cell r="C66">
            <v>18259</v>
          </cell>
          <cell r="D66">
            <v>18259</v>
          </cell>
        </row>
      </sheetData>
      <sheetData sheetId="5">
        <row r="7">
          <cell r="A7" t="str">
            <v>B2.1</v>
          </cell>
          <cell r="B7" t="str">
            <v>podstawowa opieka zdrowotna</v>
          </cell>
          <cell r="C7">
            <v>568716</v>
          </cell>
          <cell r="D7">
            <v>568716</v>
          </cell>
        </row>
        <row r="8">
          <cell r="A8" t="str">
            <v>B2.2</v>
          </cell>
          <cell r="B8" t="str">
            <v>ambulatoryjna opieka specjalistyczna</v>
          </cell>
          <cell r="C8">
            <v>228285</v>
          </cell>
          <cell r="D8">
            <v>228285</v>
          </cell>
        </row>
        <row r="9">
          <cell r="A9" t="str">
            <v>B2.3</v>
          </cell>
          <cell r="B9" t="str">
            <v>leczenie szpitalne, w tym:</v>
          </cell>
          <cell r="C9">
            <v>2270856</v>
          </cell>
          <cell r="D9">
            <v>2270856</v>
          </cell>
        </row>
        <row r="10">
          <cell r="A10" t="str">
            <v>B2.3.1</v>
          </cell>
          <cell r="B10" t="str">
            <v>programy lekowe, w tym:</v>
          </cell>
          <cell r="C10">
            <v>194028</v>
          </cell>
          <cell r="D10">
            <v>194028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174326</v>
          </cell>
          <cell r="D11">
            <v>174326</v>
          </cell>
        </row>
        <row r="12">
          <cell r="A12" t="str">
            <v>B2.3.2</v>
          </cell>
          <cell r="B12" t="str">
            <v>chemioterapia, w tym:</v>
          </cell>
          <cell r="C12">
            <v>95775</v>
          </cell>
          <cell r="D12">
            <v>95775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44369</v>
          </cell>
          <cell r="D13">
            <v>44369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177938</v>
          </cell>
          <cell r="D14">
            <v>177938</v>
          </cell>
        </row>
        <row r="15">
          <cell r="A15" t="str">
            <v>B2.5</v>
          </cell>
          <cell r="B15" t="str">
            <v>rehabilitacja lecznicza</v>
          </cell>
          <cell r="C15">
            <v>132636</v>
          </cell>
          <cell r="D15">
            <v>132636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88730</v>
          </cell>
          <cell r="D16">
            <v>88730</v>
          </cell>
        </row>
        <row r="17">
          <cell r="A17" t="str">
            <v>B2.7</v>
          </cell>
          <cell r="B17" t="str">
            <v>opieka paliatywna i hospicyjna</v>
          </cell>
          <cell r="C17">
            <v>32413</v>
          </cell>
          <cell r="D17">
            <v>32413</v>
          </cell>
        </row>
        <row r="18">
          <cell r="A18" t="str">
            <v>B2.8</v>
          </cell>
          <cell r="B18" t="str">
            <v>leczenie stomatologiczne</v>
          </cell>
          <cell r="C18">
            <v>130071</v>
          </cell>
          <cell r="D18">
            <v>130071</v>
          </cell>
        </row>
        <row r="19">
          <cell r="A19" t="str">
            <v>B2.9</v>
          </cell>
          <cell r="B19" t="str">
            <v>lecznictwo uzdrowiskowe</v>
          </cell>
          <cell r="C19">
            <v>42622</v>
          </cell>
          <cell r="D19">
            <v>42622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3513</v>
          </cell>
          <cell r="D20">
            <v>3513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11300</v>
          </cell>
          <cell r="D21">
            <v>11300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120488</v>
          </cell>
          <cell r="D22">
            <v>120488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54113</v>
          </cell>
          <cell r="D23">
            <v>54113</v>
          </cell>
        </row>
        <row r="24">
          <cell r="A24" t="str">
            <v>B2.14</v>
          </cell>
          <cell r="B24" t="str">
            <v>refundacja, z tego:</v>
          </cell>
          <cell r="C24">
            <v>473388</v>
          </cell>
          <cell r="D24">
            <v>473388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470888</v>
          </cell>
          <cell r="D25">
            <v>470888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2200</v>
          </cell>
          <cell r="D26">
            <v>2200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300</v>
          </cell>
          <cell r="D27">
            <v>300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20968</v>
          </cell>
          <cell r="D32">
            <v>20968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1270</v>
          </cell>
          <cell r="D35">
            <v>1270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114331</v>
          </cell>
          <cell r="D37">
            <v>114331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38608</v>
          </cell>
          <cell r="D38">
            <v>38608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692083</v>
          </cell>
          <cell r="D39">
            <v>692083</v>
          </cell>
        </row>
        <row r="40">
          <cell r="A40" t="str">
            <v>D</v>
          </cell>
          <cell r="B40" t="str">
            <v>Koszty administracyjne ( D1+...+D8 )</v>
          </cell>
          <cell r="C40">
            <v>25579</v>
          </cell>
          <cell r="D40">
            <v>25579</v>
          </cell>
        </row>
        <row r="41">
          <cell r="A41" t="str">
            <v>D1</v>
          </cell>
          <cell r="B41" t="str">
            <v>zużycie materiałów i energii</v>
          </cell>
          <cell r="C41">
            <v>893</v>
          </cell>
          <cell r="D41">
            <v>893</v>
          </cell>
        </row>
        <row r="42">
          <cell r="A42" t="str">
            <v>D2</v>
          </cell>
          <cell r="B42" t="str">
            <v>usługi obce</v>
          </cell>
          <cell r="C42">
            <v>2867</v>
          </cell>
          <cell r="D42">
            <v>2867</v>
          </cell>
        </row>
        <row r="43">
          <cell r="A43" t="str">
            <v>D3</v>
          </cell>
          <cell r="B43" t="str">
            <v>podatki i opłaty, z tego</v>
          </cell>
          <cell r="C43">
            <v>271</v>
          </cell>
          <cell r="D43">
            <v>271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32</v>
          </cell>
          <cell r="D44">
            <v>32</v>
          </cell>
        </row>
        <row r="45">
          <cell r="A45" t="str">
            <v>D3.1.1</v>
          </cell>
          <cell r="B45" t="str">
            <v>podatek od nieruchomości</v>
          </cell>
          <cell r="C45">
            <v>32</v>
          </cell>
          <cell r="D45">
            <v>32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0</v>
          </cell>
          <cell r="D46">
            <v>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225</v>
          </cell>
          <cell r="D49">
            <v>225</v>
          </cell>
        </row>
        <row r="50">
          <cell r="A50" t="str">
            <v>D3.6</v>
          </cell>
          <cell r="B50" t="str">
            <v>inne</v>
          </cell>
          <cell r="C50">
            <v>14</v>
          </cell>
          <cell r="D50">
            <v>14</v>
          </cell>
        </row>
        <row r="51">
          <cell r="A51" t="str">
            <v>D4</v>
          </cell>
          <cell r="B51" t="str">
            <v>wynagrodzenia, w tym:</v>
          </cell>
          <cell r="C51">
            <v>16499</v>
          </cell>
          <cell r="D51">
            <v>16499</v>
          </cell>
        </row>
        <row r="52">
          <cell r="A52" t="str">
            <v>D4.1</v>
          </cell>
          <cell r="B52" t="str">
            <v>wynagrodzenia bezosobowe</v>
          </cell>
          <cell r="C52">
            <v>144</v>
          </cell>
          <cell r="D52">
            <v>144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3699</v>
          </cell>
          <cell r="D53">
            <v>3699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2834</v>
          </cell>
          <cell r="D54">
            <v>2834</v>
          </cell>
        </row>
        <row r="55">
          <cell r="A55" t="str">
            <v>D5.2</v>
          </cell>
          <cell r="B55" t="str">
            <v>składki na Fundusz Pracy</v>
          </cell>
          <cell r="C55">
            <v>405</v>
          </cell>
          <cell r="D55">
            <v>405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460</v>
          </cell>
          <cell r="D57">
            <v>460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966</v>
          </cell>
          <cell r="D59">
            <v>966</v>
          </cell>
        </row>
        <row r="60">
          <cell r="A60" t="str">
            <v>D8</v>
          </cell>
          <cell r="B60" t="str">
            <v>pozostałe koszty administracyjne</v>
          </cell>
          <cell r="C60">
            <v>384</v>
          </cell>
          <cell r="D60">
            <v>384</v>
          </cell>
        </row>
        <row r="61">
          <cell r="A61" t="str">
            <v>F</v>
          </cell>
          <cell r="B61" t="str">
            <v>Pozostałe koszty (F1+...+F4)</v>
          </cell>
          <cell r="C61">
            <v>41500</v>
          </cell>
          <cell r="D61">
            <v>41500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40500</v>
          </cell>
          <cell r="D63">
            <v>40500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1000</v>
          </cell>
          <cell r="D65">
            <v>1000</v>
          </cell>
        </row>
        <row r="66">
          <cell r="A66" t="str">
            <v>H</v>
          </cell>
          <cell r="B66" t="str">
            <v>Koszty finansowe</v>
          </cell>
          <cell r="C66">
            <v>5000</v>
          </cell>
          <cell r="D66">
            <v>5000</v>
          </cell>
        </row>
      </sheetData>
      <sheetData sheetId="6">
        <row r="7">
          <cell r="A7" t="str">
            <v>B2.1</v>
          </cell>
          <cell r="B7" t="str">
            <v>podstawowa opieka zdrowotna</v>
          </cell>
          <cell r="C7">
            <v>281753</v>
          </cell>
          <cell r="D7">
            <v>281753</v>
          </cell>
        </row>
        <row r="8">
          <cell r="A8" t="str">
            <v>B2.2</v>
          </cell>
          <cell r="B8" t="str">
            <v>ambulatoryjna opieka specjalistyczna</v>
          </cell>
          <cell r="C8">
            <v>111258</v>
          </cell>
          <cell r="D8">
            <v>111258</v>
          </cell>
        </row>
        <row r="9">
          <cell r="A9" t="str">
            <v>B2.3</v>
          </cell>
          <cell r="B9" t="str">
            <v>leczenie szpitalne, w tym:</v>
          </cell>
          <cell r="C9">
            <v>1027102</v>
          </cell>
          <cell r="D9">
            <v>1027102</v>
          </cell>
        </row>
        <row r="10">
          <cell r="A10" t="str">
            <v>B2.3.1</v>
          </cell>
          <cell r="B10" t="str">
            <v>programy lekowe, w tym:</v>
          </cell>
          <cell r="C10">
            <v>84280</v>
          </cell>
          <cell r="D10">
            <v>84280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78007</v>
          </cell>
          <cell r="D11">
            <v>78007</v>
          </cell>
        </row>
        <row r="12">
          <cell r="A12" t="str">
            <v>B2.3.2</v>
          </cell>
          <cell r="B12" t="str">
            <v>chemioterapia, w tym:</v>
          </cell>
          <cell r="C12">
            <v>38889</v>
          </cell>
          <cell r="D12">
            <v>38889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15940</v>
          </cell>
          <cell r="D13">
            <v>15940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97585</v>
          </cell>
          <cell r="D14">
            <v>97585</v>
          </cell>
        </row>
        <row r="15">
          <cell r="A15" t="str">
            <v>B2.5</v>
          </cell>
          <cell r="B15" t="str">
            <v>rehabilitacja lecznicza</v>
          </cell>
          <cell r="C15">
            <v>55557</v>
          </cell>
          <cell r="D15">
            <v>55557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31269</v>
          </cell>
          <cell r="D16">
            <v>31269</v>
          </cell>
        </row>
        <row r="17">
          <cell r="A17" t="str">
            <v>B2.7</v>
          </cell>
          <cell r="B17" t="str">
            <v>opieka paliatywna i hospicyjna</v>
          </cell>
          <cell r="C17">
            <v>15992</v>
          </cell>
          <cell r="D17">
            <v>15992</v>
          </cell>
        </row>
        <row r="18">
          <cell r="A18" t="str">
            <v>B2.8</v>
          </cell>
          <cell r="B18" t="str">
            <v>leczenie stomatologiczne</v>
          </cell>
          <cell r="C18">
            <v>40282</v>
          </cell>
          <cell r="D18">
            <v>40282</v>
          </cell>
        </row>
        <row r="19">
          <cell r="A19" t="str">
            <v>B2.9</v>
          </cell>
          <cell r="B19" t="str">
            <v>lecznictwo uzdrowiskowe</v>
          </cell>
          <cell r="C19">
            <v>14400</v>
          </cell>
          <cell r="D19">
            <v>14400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1793</v>
          </cell>
          <cell r="D20">
            <v>1793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5581</v>
          </cell>
          <cell r="D21">
            <v>5581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56879</v>
          </cell>
          <cell r="D22">
            <v>56879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28665</v>
          </cell>
          <cell r="D23">
            <v>28665</v>
          </cell>
        </row>
        <row r="24">
          <cell r="A24" t="str">
            <v>B2.14</v>
          </cell>
          <cell r="B24" t="str">
            <v>refundacja, z tego:</v>
          </cell>
          <cell r="C24">
            <v>202785</v>
          </cell>
          <cell r="D24">
            <v>202785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202235</v>
          </cell>
          <cell r="D25">
            <v>202235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3765</v>
          </cell>
          <cell r="D29">
            <v>3765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10363</v>
          </cell>
          <cell r="D32">
            <v>10363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1200</v>
          </cell>
          <cell r="D35">
            <v>1200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68216</v>
          </cell>
          <cell r="D37">
            <v>68216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14878</v>
          </cell>
          <cell r="D38">
            <v>14878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296732</v>
          </cell>
          <cell r="D39">
            <v>296732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17681</v>
          </cell>
          <cell r="D40">
            <v>17681</v>
          </cell>
        </row>
        <row r="41">
          <cell r="A41" t="str">
            <v>D1</v>
          </cell>
          <cell r="B41" t="str">
            <v>zużycie materiałów i energii</v>
          </cell>
          <cell r="C41">
            <v>829</v>
          </cell>
          <cell r="D41">
            <v>829</v>
          </cell>
        </row>
        <row r="42">
          <cell r="A42" t="str">
            <v>D2</v>
          </cell>
          <cell r="B42" t="str">
            <v>usługi obce</v>
          </cell>
          <cell r="C42">
            <v>2173</v>
          </cell>
          <cell r="D42">
            <v>2173</v>
          </cell>
        </row>
        <row r="43">
          <cell r="A43" t="str">
            <v>D3</v>
          </cell>
          <cell r="B43" t="str">
            <v>podatki i opłaty, z tego</v>
          </cell>
          <cell r="C43">
            <v>80</v>
          </cell>
          <cell r="D43">
            <v>80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15</v>
          </cell>
          <cell r="D44">
            <v>15</v>
          </cell>
        </row>
        <row r="45">
          <cell r="A45" t="str">
            <v>D3.1.1</v>
          </cell>
          <cell r="B45" t="str">
            <v>podatek od nieruchomości</v>
          </cell>
          <cell r="C45">
            <v>15</v>
          </cell>
          <cell r="D45">
            <v>15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0</v>
          </cell>
          <cell r="D46">
            <v>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41</v>
          </cell>
          <cell r="D49">
            <v>41</v>
          </cell>
        </row>
        <row r="50">
          <cell r="A50" t="str">
            <v>D3.6</v>
          </cell>
          <cell r="B50" t="str">
            <v>inne</v>
          </cell>
          <cell r="C50">
            <v>24</v>
          </cell>
          <cell r="D50">
            <v>24</v>
          </cell>
        </row>
        <row r="51">
          <cell r="A51" t="str">
            <v>D4</v>
          </cell>
          <cell r="B51" t="str">
            <v>wynagrodzenia, w tym:</v>
          </cell>
          <cell r="C51">
            <v>9524</v>
          </cell>
          <cell r="D51">
            <v>9524</v>
          </cell>
        </row>
        <row r="52">
          <cell r="A52" t="str">
            <v>D4.1</v>
          </cell>
          <cell r="B52" t="str">
            <v>wynagrodzenia bezosobowe</v>
          </cell>
          <cell r="C52">
            <v>43</v>
          </cell>
          <cell r="D52">
            <v>43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2161</v>
          </cell>
          <cell r="D53">
            <v>2161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1634</v>
          </cell>
          <cell r="D54">
            <v>1634</v>
          </cell>
        </row>
        <row r="55">
          <cell r="A55" t="str">
            <v>D5.2</v>
          </cell>
          <cell r="B55" t="str">
            <v>składki na Fundusz Pracy</v>
          </cell>
          <cell r="C55">
            <v>233</v>
          </cell>
          <cell r="D55">
            <v>233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294</v>
          </cell>
          <cell r="D57">
            <v>294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2600</v>
          </cell>
          <cell r="D59">
            <v>2600</v>
          </cell>
        </row>
        <row r="60">
          <cell r="A60" t="str">
            <v>D8</v>
          </cell>
          <cell r="B60" t="str">
            <v>pozostałe koszty administracyjne</v>
          </cell>
          <cell r="C60">
            <v>314</v>
          </cell>
          <cell r="D60">
            <v>314</v>
          </cell>
        </row>
        <row r="61">
          <cell r="A61" t="str">
            <v>F</v>
          </cell>
          <cell r="B61" t="str">
            <v>Pozostałe koszty (F1+...+F4)</v>
          </cell>
          <cell r="C61">
            <v>2623</v>
          </cell>
          <cell r="D61">
            <v>2623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1523</v>
          </cell>
          <cell r="D63">
            <v>1523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1100</v>
          </cell>
          <cell r="D65">
            <v>1100</v>
          </cell>
        </row>
        <row r="66">
          <cell r="A66" t="str">
            <v>H</v>
          </cell>
          <cell r="B66" t="str">
            <v>Koszty finansowe</v>
          </cell>
          <cell r="C66">
            <v>750</v>
          </cell>
          <cell r="D66">
            <v>750</v>
          </cell>
        </row>
      </sheetData>
      <sheetData sheetId="7">
        <row r="7">
          <cell r="A7" t="str">
            <v>B2.1</v>
          </cell>
          <cell r="B7" t="str">
            <v>podstawowa opieka zdrowotna</v>
          </cell>
          <cell r="C7">
            <v>712426</v>
          </cell>
          <cell r="D7">
            <v>712426</v>
          </cell>
        </row>
        <row r="8">
          <cell r="A8" t="str">
            <v>B2.2</v>
          </cell>
          <cell r="B8" t="str">
            <v>ambulatoryjna opieka specjalistyczna</v>
          </cell>
          <cell r="C8">
            <v>275906</v>
          </cell>
          <cell r="D8">
            <v>275906</v>
          </cell>
        </row>
        <row r="9">
          <cell r="A9" t="str">
            <v>B2.3</v>
          </cell>
          <cell r="B9" t="str">
            <v>leczenie szpitalne, w tym:</v>
          </cell>
          <cell r="C9">
            <v>2834543</v>
          </cell>
          <cell r="D9">
            <v>2834543</v>
          </cell>
        </row>
        <row r="10">
          <cell r="A10" t="str">
            <v>B2.3.1</v>
          </cell>
          <cell r="B10" t="str">
            <v>programy lekowe, w tym:</v>
          </cell>
          <cell r="C10">
            <v>282817</v>
          </cell>
          <cell r="D10">
            <v>282817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257600</v>
          </cell>
          <cell r="D11">
            <v>257600</v>
          </cell>
        </row>
        <row r="12">
          <cell r="A12" t="str">
            <v>B2.3.2</v>
          </cell>
          <cell r="B12" t="str">
            <v>chemioterapia, w tym:</v>
          </cell>
          <cell r="C12">
            <v>93752</v>
          </cell>
          <cell r="D12">
            <v>93752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38885</v>
          </cell>
          <cell r="D13">
            <v>38885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199913</v>
          </cell>
          <cell r="D14">
            <v>199913</v>
          </cell>
        </row>
        <row r="15">
          <cell r="A15" t="str">
            <v>B2.5</v>
          </cell>
          <cell r="B15" t="str">
            <v>rehabilitacja lecznicza</v>
          </cell>
          <cell r="C15">
            <v>133942</v>
          </cell>
          <cell r="D15">
            <v>133942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77698</v>
          </cell>
          <cell r="D16">
            <v>77698</v>
          </cell>
        </row>
        <row r="17">
          <cell r="A17" t="str">
            <v>B2.7</v>
          </cell>
          <cell r="B17" t="str">
            <v>opieka paliatywna i hospicyjna</v>
          </cell>
          <cell r="C17">
            <v>36871</v>
          </cell>
          <cell r="D17">
            <v>36871</v>
          </cell>
        </row>
        <row r="18">
          <cell r="A18" t="str">
            <v>B2.8</v>
          </cell>
          <cell r="B18" t="str">
            <v>leczenie stomatologiczne</v>
          </cell>
          <cell r="C18">
            <v>124292</v>
          </cell>
          <cell r="D18">
            <v>124292</v>
          </cell>
        </row>
        <row r="19">
          <cell r="A19" t="str">
            <v>B2.9</v>
          </cell>
          <cell r="B19" t="str">
            <v>lecznictwo uzdrowiskowe</v>
          </cell>
          <cell r="C19">
            <v>44500</v>
          </cell>
          <cell r="D19">
            <v>44500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2506</v>
          </cell>
          <cell r="D20">
            <v>2506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12258</v>
          </cell>
          <cell r="D21">
            <v>12258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145182</v>
          </cell>
          <cell r="D22">
            <v>145182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69421</v>
          </cell>
          <cell r="D23">
            <v>69421</v>
          </cell>
        </row>
        <row r="24">
          <cell r="A24" t="str">
            <v>B2.14</v>
          </cell>
          <cell r="B24" t="str">
            <v>refundacja, z tego:</v>
          </cell>
          <cell r="C24">
            <v>612383</v>
          </cell>
          <cell r="D24">
            <v>612383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610670</v>
          </cell>
          <cell r="D25">
            <v>610670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889</v>
          </cell>
          <cell r="D26">
            <v>889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824</v>
          </cell>
          <cell r="D27">
            <v>824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16083</v>
          </cell>
          <cell r="D32">
            <v>16083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5500</v>
          </cell>
          <cell r="D34">
            <v>5500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4130</v>
          </cell>
          <cell r="D35">
            <v>4130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130083</v>
          </cell>
          <cell r="D37">
            <v>130083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45730</v>
          </cell>
          <cell r="D38">
            <v>45730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908868</v>
          </cell>
          <cell r="D39">
            <v>908868</v>
          </cell>
        </row>
        <row r="40">
          <cell r="A40" t="str">
            <v>D</v>
          </cell>
          <cell r="B40" t="str">
            <v>Koszty administracyjne ( D1+...+D8 )</v>
          </cell>
          <cell r="C40">
            <v>32539</v>
          </cell>
          <cell r="D40">
            <v>32539</v>
          </cell>
        </row>
        <row r="41">
          <cell r="A41" t="str">
            <v>D1</v>
          </cell>
          <cell r="B41" t="str">
            <v>zużycie materiałów i energii</v>
          </cell>
          <cell r="C41">
            <v>1279</v>
          </cell>
          <cell r="D41">
            <v>1279</v>
          </cell>
        </row>
        <row r="42">
          <cell r="A42" t="str">
            <v>D2</v>
          </cell>
          <cell r="B42" t="str">
            <v>usługi obce</v>
          </cell>
          <cell r="C42">
            <v>5394</v>
          </cell>
          <cell r="D42">
            <v>5394</v>
          </cell>
        </row>
        <row r="43">
          <cell r="A43" t="str">
            <v>D3</v>
          </cell>
          <cell r="B43" t="str">
            <v>podatki i opłaty, z tego</v>
          </cell>
          <cell r="C43">
            <v>273</v>
          </cell>
          <cell r="D43">
            <v>273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11</v>
          </cell>
          <cell r="D44">
            <v>11</v>
          </cell>
        </row>
        <row r="45">
          <cell r="A45" t="str">
            <v>D3.1.1</v>
          </cell>
          <cell r="B45" t="str">
            <v>podatek od nieruchomości</v>
          </cell>
          <cell r="C45">
            <v>11</v>
          </cell>
          <cell r="D45">
            <v>11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10</v>
          </cell>
          <cell r="D46">
            <v>10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248</v>
          </cell>
          <cell r="D49">
            <v>248</v>
          </cell>
        </row>
        <row r="50">
          <cell r="A50" t="str">
            <v>D3.6</v>
          </cell>
          <cell r="B50" t="str">
            <v>inne</v>
          </cell>
          <cell r="C50">
            <v>4</v>
          </cell>
          <cell r="D50">
            <v>4</v>
          </cell>
        </row>
        <row r="51">
          <cell r="A51" t="str">
            <v>D4</v>
          </cell>
          <cell r="B51" t="str">
            <v>wynagrodzenia, w tym:</v>
          </cell>
          <cell r="C51">
            <v>19220</v>
          </cell>
          <cell r="D51">
            <v>19220</v>
          </cell>
        </row>
        <row r="52">
          <cell r="A52" t="str">
            <v>D4.1</v>
          </cell>
          <cell r="B52" t="str">
            <v>wynagrodzenia bezosobowe</v>
          </cell>
          <cell r="C52">
            <v>90</v>
          </cell>
          <cell r="D52">
            <v>90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4310</v>
          </cell>
          <cell r="D53">
            <v>4310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3300</v>
          </cell>
          <cell r="D54">
            <v>3300</v>
          </cell>
        </row>
        <row r="55">
          <cell r="A55" t="str">
            <v>D5.2</v>
          </cell>
          <cell r="B55" t="str">
            <v>składki na Fundusz Pracy</v>
          </cell>
          <cell r="C55">
            <v>471</v>
          </cell>
          <cell r="D55">
            <v>471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539</v>
          </cell>
          <cell r="D57">
            <v>539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1780</v>
          </cell>
          <cell r="D59">
            <v>1780</v>
          </cell>
        </row>
        <row r="60">
          <cell r="A60" t="str">
            <v>D8</v>
          </cell>
          <cell r="B60" t="str">
            <v>pozostałe koszty administracyjne</v>
          </cell>
          <cell r="C60">
            <v>283</v>
          </cell>
          <cell r="D60">
            <v>283</v>
          </cell>
        </row>
        <row r="61">
          <cell r="A61" t="str">
            <v>F</v>
          </cell>
          <cell r="B61" t="str">
            <v>Pozostałe koszty (F1+...+F4)</v>
          </cell>
          <cell r="C61">
            <v>16800</v>
          </cell>
          <cell r="D61">
            <v>16800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14800</v>
          </cell>
          <cell r="D63">
            <v>14800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2000</v>
          </cell>
          <cell r="D65">
            <v>2000</v>
          </cell>
        </row>
        <row r="66">
          <cell r="A66" t="str">
            <v>H</v>
          </cell>
          <cell r="B66" t="str">
            <v>Koszty finansowe</v>
          </cell>
          <cell r="C66">
            <v>5000</v>
          </cell>
          <cell r="D66">
            <v>5000</v>
          </cell>
        </row>
      </sheetData>
      <sheetData sheetId="8">
        <row r="7">
          <cell r="A7" t="str">
            <v>B2.1</v>
          </cell>
          <cell r="B7" t="str">
            <v>podstawowa opieka zdrowotna</v>
          </cell>
          <cell r="C7">
            <v>968060</v>
          </cell>
          <cell r="D7">
            <v>968060</v>
          </cell>
        </row>
        <row r="8">
          <cell r="A8" t="str">
            <v>B2.2</v>
          </cell>
          <cell r="B8" t="str">
            <v>ambulatoryjna opieka specjalistyczna</v>
          </cell>
          <cell r="C8">
            <v>391735</v>
          </cell>
          <cell r="D8">
            <v>391735</v>
          </cell>
        </row>
        <row r="9">
          <cell r="A9" t="str">
            <v>B2.3</v>
          </cell>
          <cell r="B9" t="str">
            <v>leczenie szpitalne, w tym:</v>
          </cell>
          <cell r="C9">
            <v>3395104</v>
          </cell>
          <cell r="D9">
            <v>3395104</v>
          </cell>
        </row>
        <row r="10">
          <cell r="A10" t="str">
            <v>B2.3.1</v>
          </cell>
          <cell r="B10" t="str">
            <v>programy lekowe, w tym:</v>
          </cell>
          <cell r="C10">
            <v>335287</v>
          </cell>
          <cell r="D10">
            <v>335287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308108</v>
          </cell>
          <cell r="D11">
            <v>308108</v>
          </cell>
        </row>
        <row r="12">
          <cell r="A12" t="str">
            <v>B2.3.2</v>
          </cell>
          <cell r="B12" t="str">
            <v>chemioterapia, w tym:</v>
          </cell>
          <cell r="C12">
            <v>102794</v>
          </cell>
          <cell r="D12">
            <v>102794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52652</v>
          </cell>
          <cell r="D13">
            <v>52652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217480</v>
          </cell>
          <cell r="D14">
            <v>217480</v>
          </cell>
        </row>
        <row r="15">
          <cell r="A15" t="str">
            <v>B2.5</v>
          </cell>
          <cell r="B15" t="str">
            <v>rehabilitacja lecznicza</v>
          </cell>
          <cell r="C15">
            <v>232087</v>
          </cell>
          <cell r="D15">
            <v>232087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169064</v>
          </cell>
          <cell r="D16">
            <v>169064</v>
          </cell>
        </row>
        <row r="17">
          <cell r="A17" t="str">
            <v>B2.7</v>
          </cell>
          <cell r="B17" t="str">
            <v>opieka paliatywna i hospicyjna</v>
          </cell>
          <cell r="C17">
            <v>71395</v>
          </cell>
          <cell r="D17">
            <v>71395</v>
          </cell>
        </row>
        <row r="18">
          <cell r="A18" t="str">
            <v>B2.8</v>
          </cell>
          <cell r="B18" t="str">
            <v>leczenie stomatologiczne</v>
          </cell>
          <cell r="C18">
            <v>205320</v>
          </cell>
          <cell r="D18">
            <v>205320</v>
          </cell>
        </row>
        <row r="19">
          <cell r="A19" t="str">
            <v>B2.9</v>
          </cell>
          <cell r="B19" t="str">
            <v>lecznictwo uzdrowiskowe</v>
          </cell>
          <cell r="C19">
            <v>54000</v>
          </cell>
          <cell r="D19">
            <v>54000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1876</v>
          </cell>
          <cell r="D20">
            <v>1876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14982</v>
          </cell>
          <cell r="D21">
            <v>14982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208855</v>
          </cell>
          <cell r="D22">
            <v>208855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80000</v>
          </cell>
          <cell r="D23">
            <v>80000</v>
          </cell>
        </row>
        <row r="24">
          <cell r="A24" t="str">
            <v>B2.14</v>
          </cell>
          <cell r="B24" t="str">
            <v>refundacja, z tego:</v>
          </cell>
          <cell r="C24">
            <v>727678</v>
          </cell>
          <cell r="D24">
            <v>727678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723678</v>
          </cell>
          <cell r="D25">
            <v>723678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3000</v>
          </cell>
          <cell r="D26">
            <v>3000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25274</v>
          </cell>
          <cell r="D32">
            <v>25274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700</v>
          </cell>
          <cell r="D34">
            <v>700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9330</v>
          </cell>
          <cell r="D35">
            <v>9330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148702</v>
          </cell>
          <cell r="D37">
            <v>155790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57136</v>
          </cell>
          <cell r="D38">
            <v>57136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1088438</v>
          </cell>
          <cell r="D39">
            <v>1088438</v>
          </cell>
        </row>
        <row r="40">
          <cell r="A40" t="str">
            <v>D</v>
          </cell>
          <cell r="B40" t="str">
            <v>Koszty administracyjne ( D1+...+D8 )</v>
          </cell>
          <cell r="C40">
            <v>45790</v>
          </cell>
          <cell r="D40">
            <v>45790</v>
          </cell>
        </row>
        <row r="41">
          <cell r="A41" t="str">
            <v>D1</v>
          </cell>
          <cell r="B41" t="str">
            <v>zużycie materiałów i energii</v>
          </cell>
          <cell r="C41">
            <v>1790</v>
          </cell>
          <cell r="D41">
            <v>1790</v>
          </cell>
        </row>
        <row r="42">
          <cell r="A42" t="str">
            <v>D2</v>
          </cell>
          <cell r="B42" t="str">
            <v>usługi obce</v>
          </cell>
          <cell r="C42">
            <v>5961</v>
          </cell>
          <cell r="D42">
            <v>5961</v>
          </cell>
        </row>
        <row r="43">
          <cell r="A43" t="str">
            <v>D3</v>
          </cell>
          <cell r="B43" t="str">
            <v>podatki i opłaty, z tego</v>
          </cell>
          <cell r="C43">
            <v>296</v>
          </cell>
          <cell r="D43">
            <v>296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25</v>
          </cell>
          <cell r="D44">
            <v>25</v>
          </cell>
        </row>
        <row r="45">
          <cell r="A45" t="str">
            <v>D3.1.1</v>
          </cell>
          <cell r="B45" t="str">
            <v>podatek od nieruchomości</v>
          </cell>
          <cell r="C45">
            <v>25</v>
          </cell>
          <cell r="D45">
            <v>25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55</v>
          </cell>
          <cell r="D46">
            <v>55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155</v>
          </cell>
          <cell r="D49">
            <v>155</v>
          </cell>
        </row>
        <row r="50">
          <cell r="A50" t="str">
            <v>D3.6</v>
          </cell>
          <cell r="B50" t="str">
            <v>inne</v>
          </cell>
          <cell r="C50">
            <v>61</v>
          </cell>
          <cell r="D50">
            <v>61</v>
          </cell>
        </row>
        <row r="51">
          <cell r="A51" t="str">
            <v>D4</v>
          </cell>
          <cell r="B51" t="str">
            <v>wynagrodzenia, w tym:</v>
          </cell>
          <cell r="C51">
            <v>24234</v>
          </cell>
          <cell r="D51">
            <v>24234</v>
          </cell>
        </row>
        <row r="52">
          <cell r="A52" t="str">
            <v>D4.1</v>
          </cell>
          <cell r="B52" t="str">
            <v>wynagrodzenia bezosobowe</v>
          </cell>
          <cell r="C52">
            <v>24</v>
          </cell>
          <cell r="D52">
            <v>24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5443</v>
          </cell>
          <cell r="D53">
            <v>5443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4160</v>
          </cell>
          <cell r="D54">
            <v>4160</v>
          </cell>
        </row>
        <row r="55">
          <cell r="A55" t="str">
            <v>D5.2</v>
          </cell>
          <cell r="B55" t="str">
            <v>składki na Fundusz Pracy</v>
          </cell>
          <cell r="C55">
            <v>594</v>
          </cell>
          <cell r="D55">
            <v>594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689</v>
          </cell>
          <cell r="D57">
            <v>689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7750</v>
          </cell>
          <cell r="D59">
            <v>7750</v>
          </cell>
        </row>
        <row r="60">
          <cell r="A60" t="str">
            <v>D8</v>
          </cell>
          <cell r="B60" t="str">
            <v>pozostałe koszty administracyjne</v>
          </cell>
          <cell r="C60">
            <v>316</v>
          </cell>
          <cell r="D60">
            <v>316</v>
          </cell>
        </row>
        <row r="61">
          <cell r="A61" t="str">
            <v>F</v>
          </cell>
          <cell r="B61" t="str">
            <v>Pozostałe koszty (F1+...+F4)</v>
          </cell>
          <cell r="C61">
            <v>19360</v>
          </cell>
          <cell r="D61">
            <v>19360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16095</v>
          </cell>
          <cell r="D63">
            <v>16095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3265</v>
          </cell>
          <cell r="D65">
            <v>3265</v>
          </cell>
        </row>
        <row r="66">
          <cell r="A66" t="str">
            <v>H</v>
          </cell>
          <cell r="B66" t="str">
            <v>Koszty finansowe</v>
          </cell>
          <cell r="C66">
            <v>300</v>
          </cell>
          <cell r="D66">
            <v>300</v>
          </cell>
        </row>
      </sheetData>
      <sheetData sheetId="9">
        <row r="7">
          <cell r="A7" t="str">
            <v>B2.1</v>
          </cell>
          <cell r="B7" t="str">
            <v>podstawowa opieka zdrowotna</v>
          </cell>
          <cell r="C7">
            <v>1560000</v>
          </cell>
          <cell r="D7">
            <v>1560000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630755</v>
          </cell>
          <cell r="D8">
            <v>630755</v>
          </cell>
        </row>
        <row r="9">
          <cell r="A9" t="str">
            <v>B2.3</v>
          </cell>
          <cell r="B9" t="str">
            <v>leczenie szpitalne, w tym:</v>
          </cell>
          <cell r="C9">
            <v>6162240</v>
          </cell>
          <cell r="D9">
            <v>6162240</v>
          </cell>
        </row>
        <row r="10">
          <cell r="A10" t="str">
            <v>B2.3.1</v>
          </cell>
          <cell r="B10" t="str">
            <v>programy lekowe, w tym:</v>
          </cell>
          <cell r="C10">
            <v>543168</v>
          </cell>
          <cell r="D10">
            <v>543168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490428</v>
          </cell>
          <cell r="D11">
            <v>490428</v>
          </cell>
        </row>
        <row r="12">
          <cell r="A12" t="str">
            <v>B2.3.2</v>
          </cell>
          <cell r="B12" t="str">
            <v>chemioterapia, w tym:</v>
          </cell>
          <cell r="C12">
            <v>220444</v>
          </cell>
          <cell r="D12">
            <v>220444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104669</v>
          </cell>
          <cell r="D13">
            <v>104669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424054</v>
          </cell>
          <cell r="D14">
            <v>424054</v>
          </cell>
        </row>
        <row r="15">
          <cell r="A15" t="str">
            <v>B2.5</v>
          </cell>
          <cell r="B15" t="str">
            <v>rehabilitacja lecznicza</v>
          </cell>
          <cell r="C15">
            <v>445075</v>
          </cell>
          <cell r="D15">
            <v>445075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213649</v>
          </cell>
          <cell r="D16">
            <v>213649</v>
          </cell>
        </row>
        <row r="17">
          <cell r="A17" t="str">
            <v>B2.7</v>
          </cell>
          <cell r="B17" t="str">
            <v>opieka paliatywna i hospicyjna</v>
          </cell>
          <cell r="C17">
            <v>87771</v>
          </cell>
          <cell r="D17">
            <v>87771</v>
          </cell>
        </row>
        <row r="18">
          <cell r="A18" t="str">
            <v>B2.8</v>
          </cell>
          <cell r="B18" t="str">
            <v>leczenie stomatologiczne</v>
          </cell>
          <cell r="C18">
            <v>223614</v>
          </cell>
          <cell r="D18">
            <v>223614</v>
          </cell>
        </row>
        <row r="19">
          <cell r="A19" t="str">
            <v>B2.9</v>
          </cell>
          <cell r="B19" t="str">
            <v>lecznictwo uzdrowiskowe</v>
          </cell>
          <cell r="C19">
            <v>102936</v>
          </cell>
          <cell r="D19">
            <v>102936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8598</v>
          </cell>
          <cell r="D20">
            <v>8598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25496</v>
          </cell>
          <cell r="D21">
            <v>25496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193501</v>
          </cell>
          <cell r="D22">
            <v>193501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160000</v>
          </cell>
          <cell r="D23">
            <v>160000</v>
          </cell>
        </row>
        <row r="24">
          <cell r="A24" t="str">
            <v>B2.14</v>
          </cell>
          <cell r="B24" t="str">
            <v>refundacja, z tego:</v>
          </cell>
          <cell r="C24">
            <v>1147984</v>
          </cell>
          <cell r="D24">
            <v>1147984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1140378</v>
          </cell>
          <cell r="D25">
            <v>1140378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3058</v>
          </cell>
          <cell r="D26">
            <v>3058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4548</v>
          </cell>
          <cell r="D27">
            <v>4548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26466</v>
          </cell>
          <cell r="D32">
            <v>26466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1992</v>
          </cell>
          <cell r="D34">
            <v>1992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15720</v>
          </cell>
          <cell r="D35">
            <v>15720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1224</v>
          </cell>
          <cell r="D36">
            <v>1224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244082</v>
          </cell>
          <cell r="D37">
            <v>244082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96569</v>
          </cell>
          <cell r="D38">
            <v>96569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1743081</v>
          </cell>
          <cell r="D39">
            <v>1743081</v>
          </cell>
        </row>
        <row r="40">
          <cell r="A40" t="str">
            <v>D</v>
          </cell>
          <cell r="B40" t="str">
            <v>Koszty administracyjne ( D1+...+D8 )</v>
          </cell>
          <cell r="C40">
            <v>71892</v>
          </cell>
          <cell r="D40">
            <v>71892</v>
          </cell>
        </row>
        <row r="41">
          <cell r="A41" t="str">
            <v>D1</v>
          </cell>
          <cell r="B41" t="str">
            <v>zużycie materiałów i energii</v>
          </cell>
          <cell r="C41">
            <v>2073</v>
          </cell>
          <cell r="D41">
            <v>2073</v>
          </cell>
        </row>
        <row r="42">
          <cell r="A42" t="str">
            <v>D2</v>
          </cell>
          <cell r="B42" t="str">
            <v>usługi obce</v>
          </cell>
          <cell r="C42">
            <v>12436</v>
          </cell>
          <cell r="D42">
            <v>12436</v>
          </cell>
        </row>
        <row r="43">
          <cell r="A43" t="str">
            <v>D3</v>
          </cell>
          <cell r="B43" t="str">
            <v>podatki i opłaty, z tego</v>
          </cell>
          <cell r="C43">
            <v>238</v>
          </cell>
          <cell r="D43">
            <v>238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20</v>
          </cell>
          <cell r="D44">
            <v>20</v>
          </cell>
        </row>
        <row r="45">
          <cell r="A45" t="str">
            <v>D3.1.1</v>
          </cell>
          <cell r="B45" t="str">
            <v>podatek od nieruchomości</v>
          </cell>
          <cell r="C45">
            <v>20</v>
          </cell>
          <cell r="D45">
            <v>20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12</v>
          </cell>
          <cell r="D46">
            <v>12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203</v>
          </cell>
          <cell r="D49">
            <v>203</v>
          </cell>
        </row>
        <row r="50">
          <cell r="A50" t="str">
            <v>D3.6</v>
          </cell>
          <cell r="B50" t="str">
            <v>inne</v>
          </cell>
          <cell r="C50">
            <v>3</v>
          </cell>
          <cell r="D50">
            <v>3</v>
          </cell>
        </row>
        <row r="51">
          <cell r="A51" t="str">
            <v>D4</v>
          </cell>
          <cell r="B51" t="str">
            <v>wynagrodzenia, w tym:</v>
          </cell>
          <cell r="C51">
            <v>44283</v>
          </cell>
          <cell r="D51">
            <v>44283</v>
          </cell>
        </row>
        <row r="52">
          <cell r="A52" t="str">
            <v>D4.1</v>
          </cell>
          <cell r="B52" t="str">
            <v>wynagrodzenia bezosobowe</v>
          </cell>
          <cell r="C52">
            <v>71</v>
          </cell>
          <cell r="D52">
            <v>71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9919</v>
          </cell>
          <cell r="D53">
            <v>9919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7604</v>
          </cell>
          <cell r="D54">
            <v>7604</v>
          </cell>
        </row>
        <row r="55">
          <cell r="A55" t="str">
            <v>D5.2</v>
          </cell>
          <cell r="B55" t="str">
            <v>składki na Fundusz Pracy</v>
          </cell>
          <cell r="C55">
            <v>1085</v>
          </cell>
          <cell r="D55">
            <v>1085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1230</v>
          </cell>
          <cell r="D57">
            <v>1230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2539</v>
          </cell>
          <cell r="D59">
            <v>2539</v>
          </cell>
        </row>
        <row r="60">
          <cell r="A60" t="str">
            <v>D8</v>
          </cell>
          <cell r="B60" t="str">
            <v>pozostałe koszty administracyjne</v>
          </cell>
          <cell r="C60">
            <v>404</v>
          </cell>
          <cell r="D60">
            <v>404</v>
          </cell>
        </row>
        <row r="61">
          <cell r="A61" t="str">
            <v>F</v>
          </cell>
          <cell r="B61" t="str">
            <v>Pozostałe koszty (F1+...+F4)</v>
          </cell>
          <cell r="C61">
            <v>21751</v>
          </cell>
          <cell r="D61">
            <v>21751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13828</v>
          </cell>
          <cell r="D63">
            <v>13828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7923</v>
          </cell>
          <cell r="D65">
            <v>7923</v>
          </cell>
        </row>
        <row r="66">
          <cell r="A66" t="str">
            <v>H</v>
          </cell>
          <cell r="B66" t="str">
            <v>Koszty finansowe</v>
          </cell>
          <cell r="C66">
            <v>9640</v>
          </cell>
          <cell r="D66">
            <v>9640</v>
          </cell>
        </row>
      </sheetData>
      <sheetData sheetId="10">
        <row r="7">
          <cell r="A7" t="str">
            <v>B2.1</v>
          </cell>
          <cell r="B7" t="str">
            <v>podstawowa opieka zdrowotna</v>
          </cell>
          <cell r="C7">
            <v>256693</v>
          </cell>
          <cell r="D7">
            <v>256693</v>
          </cell>
        </row>
        <row r="8">
          <cell r="A8" t="str">
            <v>B2.2</v>
          </cell>
          <cell r="B8" t="str">
            <v>ambulatoryjna opieka specjalistyczna</v>
          </cell>
          <cell r="C8">
            <v>93676</v>
          </cell>
          <cell r="D8">
            <v>93676</v>
          </cell>
        </row>
        <row r="9">
          <cell r="A9" t="str">
            <v>B2.3</v>
          </cell>
          <cell r="B9" t="str">
            <v>leczenie szpitalne, w tym:</v>
          </cell>
          <cell r="C9">
            <v>975137</v>
          </cell>
          <cell r="D9">
            <v>975137</v>
          </cell>
        </row>
        <row r="10">
          <cell r="A10" t="str">
            <v>B2.3.1</v>
          </cell>
          <cell r="B10" t="str">
            <v>programy lekowe, w tym:</v>
          </cell>
          <cell r="C10">
            <v>84320</v>
          </cell>
          <cell r="D10">
            <v>84320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78268</v>
          </cell>
          <cell r="D11">
            <v>78268</v>
          </cell>
        </row>
        <row r="12">
          <cell r="A12" t="str">
            <v>B2.3.2</v>
          </cell>
          <cell r="B12" t="str">
            <v>chemioterapia, w tym:</v>
          </cell>
          <cell r="C12">
            <v>33958</v>
          </cell>
          <cell r="D12">
            <v>33958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14948</v>
          </cell>
          <cell r="D13">
            <v>14948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68759</v>
          </cell>
          <cell r="D14">
            <v>68759</v>
          </cell>
        </row>
        <row r="15">
          <cell r="A15" t="str">
            <v>B2.5</v>
          </cell>
          <cell r="B15" t="str">
            <v>rehabilitacja lecznicza</v>
          </cell>
          <cell r="C15">
            <v>54380</v>
          </cell>
          <cell r="D15">
            <v>54380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57413</v>
          </cell>
          <cell r="D16">
            <v>57413</v>
          </cell>
        </row>
        <row r="17">
          <cell r="A17" t="str">
            <v>B2.7</v>
          </cell>
          <cell r="B17" t="str">
            <v>opieka paliatywna i hospicyjna</v>
          </cell>
          <cell r="C17">
            <v>19884</v>
          </cell>
          <cell r="D17">
            <v>19884</v>
          </cell>
        </row>
        <row r="18">
          <cell r="A18" t="str">
            <v>B2.8</v>
          </cell>
          <cell r="B18" t="str">
            <v>leczenie stomatologiczne</v>
          </cell>
          <cell r="C18">
            <v>42843</v>
          </cell>
          <cell r="D18">
            <v>42843</v>
          </cell>
        </row>
        <row r="19">
          <cell r="A19" t="str">
            <v>B2.9</v>
          </cell>
          <cell r="B19" t="str">
            <v>lecznictwo uzdrowiskowe</v>
          </cell>
          <cell r="C19">
            <v>13000</v>
          </cell>
          <cell r="D19">
            <v>13000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1329</v>
          </cell>
          <cell r="D20">
            <v>1329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3869</v>
          </cell>
          <cell r="D21">
            <v>3869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47603</v>
          </cell>
          <cell r="D22">
            <v>47603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27997</v>
          </cell>
          <cell r="D23">
            <v>27997</v>
          </cell>
        </row>
        <row r="24">
          <cell r="A24" t="str">
            <v>B2.14</v>
          </cell>
          <cell r="B24" t="str">
            <v>refundacja, z tego:</v>
          </cell>
          <cell r="C24">
            <v>193080</v>
          </cell>
          <cell r="D24">
            <v>193080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192210</v>
          </cell>
          <cell r="D25">
            <v>192210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650</v>
          </cell>
          <cell r="D26">
            <v>650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220</v>
          </cell>
          <cell r="D27">
            <v>220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13152</v>
          </cell>
          <cell r="D32">
            <v>13152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498</v>
          </cell>
          <cell r="D34">
            <v>498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1080</v>
          </cell>
          <cell r="D35">
            <v>1080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55216</v>
          </cell>
          <cell r="D37">
            <v>55216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17354</v>
          </cell>
          <cell r="D38">
            <v>17354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286296</v>
          </cell>
          <cell r="D39">
            <v>286296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17030</v>
          </cell>
          <cell r="D40">
            <v>17030</v>
          </cell>
        </row>
        <row r="41">
          <cell r="A41" t="str">
            <v>D1</v>
          </cell>
          <cell r="B41" t="str">
            <v>zużycie materiałów i energii</v>
          </cell>
          <cell r="C41">
            <v>845</v>
          </cell>
          <cell r="D41">
            <v>845</v>
          </cell>
        </row>
        <row r="42">
          <cell r="A42" t="str">
            <v>D2</v>
          </cell>
          <cell r="B42" t="str">
            <v>usługi obce</v>
          </cell>
          <cell r="C42">
            <v>2465</v>
          </cell>
          <cell r="D42">
            <v>2465</v>
          </cell>
        </row>
        <row r="43">
          <cell r="A43" t="str">
            <v>D3</v>
          </cell>
          <cell r="B43" t="str">
            <v>podatki i opłaty, z tego</v>
          </cell>
          <cell r="C43">
            <v>169</v>
          </cell>
          <cell r="D43">
            <v>169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0</v>
          </cell>
          <cell r="D44">
            <v>0</v>
          </cell>
        </row>
        <row r="45">
          <cell r="A45" t="str">
            <v>D3.1.1</v>
          </cell>
          <cell r="B45" t="str">
            <v>podatek od nieruchomości</v>
          </cell>
          <cell r="C45">
            <v>0</v>
          </cell>
          <cell r="D45">
            <v>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8</v>
          </cell>
          <cell r="D46">
            <v>8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155</v>
          </cell>
          <cell r="D49">
            <v>155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9702</v>
          </cell>
          <cell r="D51">
            <v>9702</v>
          </cell>
        </row>
        <row r="52">
          <cell r="A52" t="str">
            <v>D4.1</v>
          </cell>
          <cell r="B52" t="str">
            <v>wynagrodzenia bezosobowe</v>
          </cell>
          <cell r="C52">
            <v>31</v>
          </cell>
          <cell r="D52">
            <v>31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2172</v>
          </cell>
          <cell r="D53">
            <v>2172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1665</v>
          </cell>
          <cell r="D54">
            <v>1665</v>
          </cell>
        </row>
        <row r="55">
          <cell r="A55" t="str">
            <v>D5.2</v>
          </cell>
          <cell r="B55" t="str">
            <v>składki na Fundusz Pracy</v>
          </cell>
          <cell r="C55">
            <v>238</v>
          </cell>
          <cell r="D55">
            <v>238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269</v>
          </cell>
          <cell r="D57">
            <v>269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1488</v>
          </cell>
          <cell r="D59">
            <v>1488</v>
          </cell>
        </row>
        <row r="60">
          <cell r="A60" t="str">
            <v>D8</v>
          </cell>
          <cell r="B60" t="str">
            <v>pozostałe koszty administracyjne</v>
          </cell>
          <cell r="C60">
            <v>189</v>
          </cell>
          <cell r="D60">
            <v>189</v>
          </cell>
        </row>
        <row r="61">
          <cell r="A61" t="str">
            <v>F</v>
          </cell>
          <cell r="B61" t="str">
            <v>Pozostałe koszty (F1+...+F4)</v>
          </cell>
          <cell r="C61">
            <v>8200</v>
          </cell>
          <cell r="D61">
            <v>8200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5700</v>
          </cell>
          <cell r="D63">
            <v>5700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2500</v>
          </cell>
          <cell r="D65">
            <v>2500</v>
          </cell>
        </row>
        <row r="66">
          <cell r="A66" t="str">
            <v>H</v>
          </cell>
          <cell r="B66" t="str">
            <v>Koszty finansowe</v>
          </cell>
          <cell r="C66">
            <v>1238</v>
          </cell>
          <cell r="D66">
            <v>1238</v>
          </cell>
        </row>
      </sheetData>
      <sheetData sheetId="11">
        <row r="7">
          <cell r="A7" t="str">
            <v>B2.1</v>
          </cell>
          <cell r="B7" t="str">
            <v>podstawowa opieka zdrowotna</v>
          </cell>
          <cell r="C7">
            <v>552707</v>
          </cell>
          <cell r="D7">
            <v>552707</v>
          </cell>
        </row>
        <row r="8">
          <cell r="A8" t="str">
            <v>B2.2</v>
          </cell>
          <cell r="B8" t="str">
            <v>ambulatoryjna opieka specjalistyczna</v>
          </cell>
          <cell r="C8">
            <v>233308</v>
          </cell>
          <cell r="D8">
            <v>233308</v>
          </cell>
        </row>
        <row r="9">
          <cell r="A9" t="str">
            <v>B2.3</v>
          </cell>
          <cell r="B9" t="str">
            <v>leczenie szpitalne, w tym:</v>
          </cell>
          <cell r="C9">
            <v>2131888</v>
          </cell>
          <cell r="D9">
            <v>2131888</v>
          </cell>
        </row>
        <row r="10">
          <cell r="A10" t="str">
            <v>B2.3.1</v>
          </cell>
          <cell r="B10" t="str">
            <v>programy lekowe, w tym:</v>
          </cell>
          <cell r="C10">
            <v>186001</v>
          </cell>
          <cell r="D10">
            <v>186001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169641</v>
          </cell>
          <cell r="D11">
            <v>169641</v>
          </cell>
        </row>
        <row r="12">
          <cell r="A12" t="str">
            <v>B2.3.2</v>
          </cell>
          <cell r="B12" t="str">
            <v>chemioterapia, w tym:</v>
          </cell>
          <cell r="C12">
            <v>77725</v>
          </cell>
          <cell r="D12">
            <v>77725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36136</v>
          </cell>
          <cell r="D13">
            <v>36136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139325</v>
          </cell>
          <cell r="D14">
            <v>139325</v>
          </cell>
        </row>
        <row r="15">
          <cell r="A15" t="str">
            <v>B2.5</v>
          </cell>
          <cell r="B15" t="str">
            <v>rehabilitacja lecznicza</v>
          </cell>
          <cell r="C15">
            <v>152358</v>
          </cell>
          <cell r="D15">
            <v>152358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125412</v>
          </cell>
          <cell r="D16">
            <v>125412</v>
          </cell>
        </row>
        <row r="17">
          <cell r="A17" t="str">
            <v>B2.7</v>
          </cell>
          <cell r="B17" t="str">
            <v>opieka paliatywna i hospicyjna</v>
          </cell>
          <cell r="C17">
            <v>47897</v>
          </cell>
          <cell r="D17">
            <v>47897</v>
          </cell>
        </row>
        <row r="18">
          <cell r="A18" t="str">
            <v>B2.8</v>
          </cell>
          <cell r="B18" t="str">
            <v>leczenie stomatologiczne</v>
          </cell>
          <cell r="C18">
            <v>117135</v>
          </cell>
          <cell r="D18">
            <v>117135</v>
          </cell>
        </row>
        <row r="19">
          <cell r="A19" t="str">
            <v>B2.9</v>
          </cell>
          <cell r="B19" t="str">
            <v>lecznictwo uzdrowiskowe</v>
          </cell>
          <cell r="C19">
            <v>37570</v>
          </cell>
          <cell r="D19">
            <v>37570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3286</v>
          </cell>
          <cell r="D20">
            <v>3286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8540</v>
          </cell>
          <cell r="D21">
            <v>8540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99074</v>
          </cell>
          <cell r="D22">
            <v>99074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54447</v>
          </cell>
          <cell r="D23">
            <v>54447</v>
          </cell>
        </row>
        <row r="24">
          <cell r="A24" t="str">
            <v>B2.14</v>
          </cell>
          <cell r="B24" t="str">
            <v>refundacja, z tego:</v>
          </cell>
          <cell r="C24">
            <v>410410</v>
          </cell>
          <cell r="D24">
            <v>410410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406665</v>
          </cell>
          <cell r="D25">
            <v>406665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2675</v>
          </cell>
          <cell r="D26">
            <v>2675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1070</v>
          </cell>
          <cell r="D27">
            <v>1070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11791</v>
          </cell>
          <cell r="D32">
            <v>11791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</v>
          </cell>
          <cell r="D34">
            <v>200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1225</v>
          </cell>
          <cell r="D35">
            <v>1225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109052</v>
          </cell>
          <cell r="D37">
            <v>109052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35502</v>
          </cell>
          <cell r="D38">
            <v>35502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616187</v>
          </cell>
          <cell r="D39">
            <v>616187</v>
          </cell>
        </row>
        <row r="40">
          <cell r="A40" t="str">
            <v>D</v>
          </cell>
          <cell r="B40" t="str">
            <v>Koszty administracyjne ( D1+...+D8 )</v>
          </cell>
          <cell r="C40">
            <v>26529</v>
          </cell>
          <cell r="D40">
            <v>26529</v>
          </cell>
        </row>
        <row r="41">
          <cell r="A41" t="str">
            <v>D1</v>
          </cell>
          <cell r="B41" t="str">
            <v>zużycie materiałów i energii</v>
          </cell>
          <cell r="C41">
            <v>1381</v>
          </cell>
          <cell r="D41">
            <v>1381</v>
          </cell>
        </row>
        <row r="42">
          <cell r="A42" t="str">
            <v>D2</v>
          </cell>
          <cell r="B42" t="str">
            <v>usługi obce</v>
          </cell>
          <cell r="C42">
            <v>2881</v>
          </cell>
          <cell r="D42">
            <v>2881</v>
          </cell>
        </row>
        <row r="43">
          <cell r="A43" t="str">
            <v>D3</v>
          </cell>
          <cell r="B43" t="str">
            <v>podatki i opłaty, z tego</v>
          </cell>
          <cell r="C43">
            <v>122</v>
          </cell>
          <cell r="D43">
            <v>122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28</v>
          </cell>
          <cell r="D44">
            <v>28</v>
          </cell>
        </row>
        <row r="45">
          <cell r="A45" t="str">
            <v>D3.1.1</v>
          </cell>
          <cell r="B45" t="str">
            <v>podatek od nieruchomości</v>
          </cell>
          <cell r="C45">
            <v>28</v>
          </cell>
          <cell r="D45">
            <v>28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13</v>
          </cell>
          <cell r="D46">
            <v>13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44</v>
          </cell>
          <cell r="D49">
            <v>44</v>
          </cell>
        </row>
        <row r="50">
          <cell r="A50" t="str">
            <v>D3.6</v>
          </cell>
          <cell r="B50" t="str">
            <v>inne</v>
          </cell>
          <cell r="C50">
            <v>37</v>
          </cell>
          <cell r="D50">
            <v>37</v>
          </cell>
        </row>
        <row r="51">
          <cell r="A51" t="str">
            <v>D4</v>
          </cell>
          <cell r="B51" t="str">
            <v>wynagrodzenia, w tym:</v>
          </cell>
          <cell r="C51">
            <v>15007</v>
          </cell>
          <cell r="D51">
            <v>15007</v>
          </cell>
        </row>
        <row r="52">
          <cell r="A52" t="str">
            <v>D4.1</v>
          </cell>
          <cell r="B52" t="str">
            <v>wynagrodzenia bezosobowe</v>
          </cell>
          <cell r="C52">
            <v>10</v>
          </cell>
          <cell r="D52">
            <v>10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3365</v>
          </cell>
          <cell r="D53">
            <v>3365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2576</v>
          </cell>
          <cell r="D54">
            <v>2576</v>
          </cell>
        </row>
        <row r="55">
          <cell r="A55" t="str">
            <v>D5.2</v>
          </cell>
          <cell r="B55" t="str">
            <v>składki na Fundusz Pracy</v>
          </cell>
          <cell r="C55">
            <v>368</v>
          </cell>
          <cell r="D55">
            <v>368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421</v>
          </cell>
          <cell r="D57">
            <v>421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3500</v>
          </cell>
          <cell r="D59">
            <v>3500</v>
          </cell>
        </row>
        <row r="60">
          <cell r="A60" t="str">
            <v>D8</v>
          </cell>
          <cell r="B60" t="str">
            <v>pozostałe koszty administracyjne</v>
          </cell>
          <cell r="C60">
            <v>273</v>
          </cell>
          <cell r="D60">
            <v>273</v>
          </cell>
        </row>
        <row r="61">
          <cell r="A61" t="str">
            <v>F</v>
          </cell>
          <cell r="B61" t="str">
            <v>Pozostałe koszty (F1+...+F4)</v>
          </cell>
          <cell r="C61">
            <v>4000</v>
          </cell>
          <cell r="D61">
            <v>4000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3000</v>
          </cell>
          <cell r="D63">
            <v>3000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1000</v>
          </cell>
          <cell r="D65">
            <v>1000</v>
          </cell>
        </row>
        <row r="66">
          <cell r="A66" t="str">
            <v>H</v>
          </cell>
          <cell r="B66" t="str">
            <v>Koszty finansowe</v>
          </cell>
          <cell r="C66">
            <v>810</v>
          </cell>
          <cell r="D66">
            <v>810</v>
          </cell>
        </row>
      </sheetData>
      <sheetData sheetId="12">
        <row r="7">
          <cell r="A7" t="str">
            <v>B2.1</v>
          </cell>
          <cell r="B7" t="str">
            <v>podstawowa opieka zdrowotna</v>
          </cell>
          <cell r="C7">
            <v>324000</v>
          </cell>
          <cell r="D7">
            <v>324000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139590</v>
          </cell>
          <cell r="D8">
            <v>139590</v>
          </cell>
        </row>
        <row r="9">
          <cell r="A9" t="str">
            <v>B2.3</v>
          </cell>
          <cell r="B9" t="str">
            <v>leczenie szpitalne, w tym:</v>
          </cell>
          <cell r="C9">
            <v>1236511</v>
          </cell>
          <cell r="D9">
            <v>1236511</v>
          </cell>
        </row>
        <row r="10">
          <cell r="A10" t="str">
            <v>B2.3.1</v>
          </cell>
          <cell r="B10" t="str">
            <v>programy lekowe, w tym:</v>
          </cell>
          <cell r="C10">
            <v>91500</v>
          </cell>
          <cell r="D10">
            <v>91500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83501</v>
          </cell>
          <cell r="D11">
            <v>83501</v>
          </cell>
        </row>
        <row r="12">
          <cell r="A12" t="str">
            <v>B2.3.2</v>
          </cell>
          <cell r="B12" t="str">
            <v>chemioterapia, w tym:</v>
          </cell>
          <cell r="C12">
            <v>45960</v>
          </cell>
          <cell r="D12">
            <v>45960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24250</v>
          </cell>
          <cell r="D13">
            <v>24250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92701</v>
          </cell>
          <cell r="D14">
            <v>92701</v>
          </cell>
        </row>
        <row r="15">
          <cell r="A15" t="str">
            <v>B2.5</v>
          </cell>
          <cell r="B15" t="str">
            <v>rehabilitacja lecznicza</v>
          </cell>
          <cell r="C15">
            <v>62810</v>
          </cell>
          <cell r="D15">
            <v>62810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38940</v>
          </cell>
          <cell r="D16">
            <v>38940</v>
          </cell>
        </row>
        <row r="17">
          <cell r="A17" t="str">
            <v>B2.7</v>
          </cell>
          <cell r="B17" t="str">
            <v>opieka paliatywna i hospicyjna</v>
          </cell>
          <cell r="C17">
            <v>22720</v>
          </cell>
          <cell r="D17">
            <v>22720</v>
          </cell>
        </row>
        <row r="18">
          <cell r="A18" t="str">
            <v>B2.8</v>
          </cell>
          <cell r="B18" t="str">
            <v>leczenie stomatologiczne</v>
          </cell>
          <cell r="C18">
            <v>63200</v>
          </cell>
          <cell r="D18">
            <v>63200</v>
          </cell>
        </row>
        <row r="19">
          <cell r="A19" t="str">
            <v>B2.9</v>
          </cell>
          <cell r="B19" t="str">
            <v>lecznictwo uzdrowiskowe</v>
          </cell>
          <cell r="C19">
            <v>20500</v>
          </cell>
          <cell r="D19">
            <v>20500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1730</v>
          </cell>
          <cell r="D20">
            <v>1730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4654</v>
          </cell>
          <cell r="D21">
            <v>4654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65400</v>
          </cell>
          <cell r="D22">
            <v>65400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30500</v>
          </cell>
          <cell r="D23">
            <v>30500</v>
          </cell>
        </row>
        <row r="24">
          <cell r="A24" t="str">
            <v>B2.14</v>
          </cell>
          <cell r="B24" t="str">
            <v>refundacja, z tego:</v>
          </cell>
          <cell r="C24">
            <v>222700</v>
          </cell>
          <cell r="D24">
            <v>222700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221000</v>
          </cell>
          <cell r="D25">
            <v>221000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1200</v>
          </cell>
          <cell r="D26">
            <v>1200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500</v>
          </cell>
          <cell r="D27">
            <v>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4355</v>
          </cell>
          <cell r="D32">
            <v>4355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1110</v>
          </cell>
          <cell r="D35">
            <v>1110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73356</v>
          </cell>
          <cell r="D37">
            <v>73356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22301</v>
          </cell>
          <cell r="D38">
            <v>22301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330451</v>
          </cell>
          <cell r="D39">
            <v>330451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17584</v>
          </cell>
          <cell r="D40">
            <v>17584</v>
          </cell>
        </row>
        <row r="41">
          <cell r="A41" t="str">
            <v>D1</v>
          </cell>
          <cell r="B41" t="str">
            <v>zużycie materiałów i energii</v>
          </cell>
          <cell r="C41">
            <v>595</v>
          </cell>
          <cell r="D41">
            <v>595</v>
          </cell>
        </row>
        <row r="42">
          <cell r="A42" t="str">
            <v>D2</v>
          </cell>
          <cell r="B42" t="str">
            <v>usługi obce</v>
          </cell>
          <cell r="C42">
            <v>1272</v>
          </cell>
          <cell r="D42">
            <v>1272</v>
          </cell>
        </row>
        <row r="43">
          <cell r="A43" t="str">
            <v>D3</v>
          </cell>
          <cell r="B43" t="str">
            <v>podatki i opłaty, z tego</v>
          </cell>
          <cell r="C43">
            <v>251</v>
          </cell>
          <cell r="D43">
            <v>251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19</v>
          </cell>
          <cell r="D44">
            <v>19</v>
          </cell>
        </row>
        <row r="45">
          <cell r="A45" t="str">
            <v>D3.1.1</v>
          </cell>
          <cell r="B45" t="str">
            <v>podatek od nieruchomości</v>
          </cell>
          <cell r="C45">
            <v>19</v>
          </cell>
          <cell r="D45">
            <v>19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76</v>
          </cell>
          <cell r="D46">
            <v>76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150</v>
          </cell>
          <cell r="D49">
            <v>150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10668</v>
          </cell>
          <cell r="D51">
            <v>10668</v>
          </cell>
        </row>
        <row r="52">
          <cell r="A52" t="str">
            <v>D4.1</v>
          </cell>
          <cell r="B52" t="str">
            <v>wynagrodzenia bezosobowe</v>
          </cell>
          <cell r="C52">
            <v>0</v>
          </cell>
          <cell r="D52">
            <v>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2395</v>
          </cell>
          <cell r="D53">
            <v>2395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1831</v>
          </cell>
          <cell r="D54">
            <v>1831</v>
          </cell>
        </row>
        <row r="55">
          <cell r="A55" t="str">
            <v>D5.2</v>
          </cell>
          <cell r="B55" t="str">
            <v>składki na Fundusz Pracy</v>
          </cell>
          <cell r="C55">
            <v>262</v>
          </cell>
          <cell r="D55">
            <v>262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302</v>
          </cell>
          <cell r="D57">
            <v>302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2253</v>
          </cell>
          <cell r="D59">
            <v>2253</v>
          </cell>
        </row>
        <row r="60">
          <cell r="A60" t="str">
            <v>D8</v>
          </cell>
          <cell r="B60" t="str">
            <v>pozostałe koszty administracyjne</v>
          </cell>
          <cell r="C60">
            <v>150</v>
          </cell>
          <cell r="D60">
            <v>150</v>
          </cell>
        </row>
        <row r="61">
          <cell r="A61" t="str">
            <v>F</v>
          </cell>
          <cell r="B61" t="str">
            <v>Pozostałe koszty (F1+...+F4)</v>
          </cell>
          <cell r="C61">
            <v>1650</v>
          </cell>
          <cell r="D61">
            <v>1650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700</v>
          </cell>
          <cell r="D63">
            <v>700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950</v>
          </cell>
          <cell r="D65">
            <v>950</v>
          </cell>
        </row>
        <row r="66">
          <cell r="A66" t="str">
            <v>H</v>
          </cell>
          <cell r="B66" t="str">
            <v>Koszty finansowe</v>
          </cell>
          <cell r="C66">
            <v>360</v>
          </cell>
          <cell r="D66">
            <v>360</v>
          </cell>
        </row>
      </sheetData>
      <sheetData sheetId="13">
        <row r="7">
          <cell r="A7" t="str">
            <v>B2.1</v>
          </cell>
          <cell r="B7" t="str">
            <v>podstawowa opieka zdrowotna</v>
          </cell>
          <cell r="C7">
            <v>655715</v>
          </cell>
          <cell r="D7">
            <v>655715</v>
          </cell>
        </row>
        <row r="8">
          <cell r="A8" t="str">
            <v>B2.2</v>
          </cell>
          <cell r="B8" t="str">
            <v>ambulatoryjna opieka specjalistyczna</v>
          </cell>
          <cell r="C8">
            <v>258891</v>
          </cell>
          <cell r="D8">
            <v>258891</v>
          </cell>
        </row>
        <row r="9">
          <cell r="A9" t="str">
            <v>B2.3</v>
          </cell>
          <cell r="B9" t="str">
            <v>leczenie szpitalne, w tym:</v>
          </cell>
          <cell r="C9">
            <v>2259719</v>
          </cell>
          <cell r="D9">
            <v>2259719</v>
          </cell>
        </row>
        <row r="10">
          <cell r="A10" t="str">
            <v>B2.3.1</v>
          </cell>
          <cell r="B10" t="str">
            <v>programy lekowe, w tym:</v>
          </cell>
          <cell r="C10">
            <v>226118</v>
          </cell>
          <cell r="D10">
            <v>226118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207499</v>
          </cell>
          <cell r="D11">
            <v>207499</v>
          </cell>
        </row>
        <row r="12">
          <cell r="A12" t="str">
            <v>B2.3.2</v>
          </cell>
          <cell r="B12" t="str">
            <v>chemioterapia, w tym:</v>
          </cell>
          <cell r="C12">
            <v>88928</v>
          </cell>
          <cell r="D12">
            <v>88928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49264</v>
          </cell>
          <cell r="D13">
            <v>49264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184447</v>
          </cell>
          <cell r="D14">
            <v>184447</v>
          </cell>
        </row>
        <row r="15">
          <cell r="A15" t="str">
            <v>B2.5</v>
          </cell>
          <cell r="B15" t="str">
            <v>rehabilitacja lecznicza</v>
          </cell>
          <cell r="C15">
            <v>134165</v>
          </cell>
          <cell r="D15">
            <v>134165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62218</v>
          </cell>
          <cell r="D16">
            <v>62218</v>
          </cell>
        </row>
        <row r="17">
          <cell r="A17" t="str">
            <v>B2.7</v>
          </cell>
          <cell r="B17" t="str">
            <v>opieka paliatywna i hospicyjna</v>
          </cell>
          <cell r="C17">
            <v>44478</v>
          </cell>
          <cell r="D17">
            <v>44478</v>
          </cell>
        </row>
        <row r="18">
          <cell r="A18" t="str">
            <v>B2.8</v>
          </cell>
          <cell r="B18" t="str">
            <v>leczenie stomatologiczne</v>
          </cell>
          <cell r="C18">
            <v>119266</v>
          </cell>
          <cell r="D18">
            <v>119266</v>
          </cell>
        </row>
        <row r="19">
          <cell r="A19" t="str">
            <v>B2.9</v>
          </cell>
          <cell r="B19" t="str">
            <v>lecznictwo uzdrowiskowe</v>
          </cell>
          <cell r="C19">
            <v>32000</v>
          </cell>
          <cell r="D19">
            <v>32000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1539</v>
          </cell>
          <cell r="D20">
            <v>1539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11145</v>
          </cell>
          <cell r="D21">
            <v>11145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131794</v>
          </cell>
          <cell r="D22">
            <v>131794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60000</v>
          </cell>
          <cell r="D23">
            <v>60000</v>
          </cell>
        </row>
        <row r="24">
          <cell r="A24" t="str">
            <v>B2.14</v>
          </cell>
          <cell r="B24" t="str">
            <v>refundacja, z tego:</v>
          </cell>
          <cell r="C24">
            <v>550168</v>
          </cell>
          <cell r="D24">
            <v>550168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548471</v>
          </cell>
          <cell r="D25">
            <v>548471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931</v>
          </cell>
          <cell r="D26">
            <v>931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766</v>
          </cell>
          <cell r="D27">
            <v>766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13808</v>
          </cell>
          <cell r="D32">
            <v>13808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</v>
          </cell>
          <cell r="D34">
            <v>50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4335</v>
          </cell>
          <cell r="D35">
            <v>4335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200</v>
          </cell>
          <cell r="D36">
            <v>200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106506</v>
          </cell>
          <cell r="D37">
            <v>106506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34757</v>
          </cell>
          <cell r="D38">
            <v>34757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806931</v>
          </cell>
          <cell r="D39">
            <v>806931</v>
          </cell>
        </row>
        <row r="40">
          <cell r="A40" t="str">
            <v>D</v>
          </cell>
          <cell r="B40" t="str">
            <v>Koszty administracyjne ( D1+...+D8 )</v>
          </cell>
          <cell r="C40">
            <v>32651</v>
          </cell>
          <cell r="D40">
            <v>32651</v>
          </cell>
        </row>
        <row r="41">
          <cell r="A41" t="str">
            <v>D1</v>
          </cell>
          <cell r="B41" t="str">
            <v>zużycie materiałów i energii</v>
          </cell>
          <cell r="C41">
            <v>1636</v>
          </cell>
          <cell r="D41">
            <v>1636</v>
          </cell>
        </row>
        <row r="42">
          <cell r="A42" t="str">
            <v>D2</v>
          </cell>
          <cell r="B42" t="str">
            <v>usługi obce</v>
          </cell>
          <cell r="C42">
            <v>3365</v>
          </cell>
          <cell r="D42">
            <v>3365</v>
          </cell>
        </row>
        <row r="43">
          <cell r="A43" t="str">
            <v>D3</v>
          </cell>
          <cell r="B43" t="str">
            <v>podatki i opłaty, z tego</v>
          </cell>
          <cell r="C43">
            <v>155</v>
          </cell>
          <cell r="D43">
            <v>155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51</v>
          </cell>
          <cell r="D44">
            <v>51</v>
          </cell>
        </row>
        <row r="45">
          <cell r="A45" t="str">
            <v>D3.1.1</v>
          </cell>
          <cell r="B45" t="str">
            <v>podatek od nieruchomości</v>
          </cell>
          <cell r="C45">
            <v>51</v>
          </cell>
          <cell r="D45">
            <v>51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39</v>
          </cell>
          <cell r="D46">
            <v>39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45</v>
          </cell>
          <cell r="D49">
            <v>45</v>
          </cell>
        </row>
        <row r="50">
          <cell r="A50" t="str">
            <v>D3.6</v>
          </cell>
          <cell r="B50" t="str">
            <v>inne</v>
          </cell>
          <cell r="C50">
            <v>20</v>
          </cell>
          <cell r="D50">
            <v>20</v>
          </cell>
        </row>
        <row r="51">
          <cell r="A51" t="str">
            <v>D4</v>
          </cell>
          <cell r="B51" t="str">
            <v>wynagrodzenia, w tym:</v>
          </cell>
          <cell r="C51">
            <v>20605</v>
          </cell>
          <cell r="D51">
            <v>20605</v>
          </cell>
        </row>
        <row r="52">
          <cell r="A52" t="str">
            <v>D4.1</v>
          </cell>
          <cell r="B52" t="str">
            <v>wynagrodzenia bezosobowe</v>
          </cell>
          <cell r="C52">
            <v>100</v>
          </cell>
          <cell r="D52">
            <v>100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4620</v>
          </cell>
          <cell r="D53">
            <v>4620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3538</v>
          </cell>
          <cell r="D54">
            <v>3538</v>
          </cell>
        </row>
        <row r="55">
          <cell r="A55" t="str">
            <v>D5.2</v>
          </cell>
          <cell r="B55" t="str">
            <v>składki na Fundusz Pracy</v>
          </cell>
          <cell r="C55">
            <v>505</v>
          </cell>
          <cell r="D55">
            <v>505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577</v>
          </cell>
          <cell r="D57">
            <v>577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1999</v>
          </cell>
          <cell r="D59">
            <v>1999</v>
          </cell>
        </row>
        <row r="60">
          <cell r="A60" t="str">
            <v>D8</v>
          </cell>
          <cell r="B60" t="str">
            <v>pozostałe koszty administracyjne</v>
          </cell>
          <cell r="C60">
            <v>271</v>
          </cell>
          <cell r="D60">
            <v>271</v>
          </cell>
        </row>
        <row r="61">
          <cell r="A61" t="str">
            <v>F</v>
          </cell>
          <cell r="B61" t="str">
            <v>Pozostałe koszty (F1+...+F4)</v>
          </cell>
          <cell r="C61">
            <v>2967</v>
          </cell>
          <cell r="D61">
            <v>2967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57</v>
          </cell>
          <cell r="D62">
            <v>57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1210</v>
          </cell>
          <cell r="D63">
            <v>1210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1700</v>
          </cell>
          <cell r="D65">
            <v>1700</v>
          </cell>
        </row>
        <row r="66">
          <cell r="A66" t="str">
            <v>H</v>
          </cell>
          <cell r="B66" t="str">
            <v>Koszty finansowe</v>
          </cell>
          <cell r="C66">
            <v>1000</v>
          </cell>
          <cell r="D66">
            <v>1000</v>
          </cell>
        </row>
      </sheetData>
      <sheetData sheetId="14">
        <row r="7">
          <cell r="A7" t="str">
            <v>B2.1</v>
          </cell>
          <cell r="B7" t="str">
            <v>podstawowa opieka zdrowotna</v>
          </cell>
          <cell r="C7">
            <v>1236418</v>
          </cell>
          <cell r="D7">
            <v>1236418</v>
          </cell>
        </row>
        <row r="8">
          <cell r="A8" t="str">
            <v>B2.2</v>
          </cell>
          <cell r="B8" t="str">
            <v>ambulatoryjna opieka specjalistyczna</v>
          </cell>
          <cell r="C8">
            <v>641259</v>
          </cell>
          <cell r="D8">
            <v>641259</v>
          </cell>
        </row>
        <row r="9">
          <cell r="A9" t="str">
            <v>B2.3</v>
          </cell>
          <cell r="B9" t="str">
            <v>leczenie szpitalne, w tym:</v>
          </cell>
          <cell r="C9">
            <v>4790931</v>
          </cell>
          <cell r="D9">
            <v>4790931</v>
          </cell>
        </row>
        <row r="10">
          <cell r="A10" t="str">
            <v>B2.3.1</v>
          </cell>
          <cell r="B10" t="str">
            <v>programy lekowe, w tym:</v>
          </cell>
          <cell r="C10">
            <v>455346</v>
          </cell>
          <cell r="D10">
            <v>455346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411460</v>
          </cell>
          <cell r="D11">
            <v>411460</v>
          </cell>
        </row>
        <row r="12">
          <cell r="A12" t="str">
            <v>B2.3.2</v>
          </cell>
          <cell r="B12" t="str">
            <v>chemioterapia, w tym:</v>
          </cell>
          <cell r="C12">
            <v>169779</v>
          </cell>
          <cell r="D12">
            <v>169779</v>
          </cell>
        </row>
        <row r="13">
          <cell r="A13" t="str">
            <v>B2.3.2.1</v>
          </cell>
          <cell r="B13" t="str">
            <v>leki stosowane w chemioterapii</v>
          </cell>
          <cell r="C13">
            <v>74937</v>
          </cell>
          <cell r="D13">
            <v>74937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358282</v>
          </cell>
          <cell r="D14">
            <v>358282</v>
          </cell>
        </row>
        <row r="15">
          <cell r="A15" t="str">
            <v>B2.5</v>
          </cell>
          <cell r="B15" t="str">
            <v>rehabilitacja lecznicza</v>
          </cell>
          <cell r="C15">
            <v>276390</v>
          </cell>
          <cell r="D15">
            <v>276390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260702</v>
          </cell>
          <cell r="D16">
            <v>260702</v>
          </cell>
        </row>
        <row r="17">
          <cell r="A17" t="str">
            <v>B2.7</v>
          </cell>
          <cell r="B17" t="str">
            <v>opieka paliatywna i hospicyjna</v>
          </cell>
          <cell r="C17">
            <v>81687</v>
          </cell>
          <cell r="D17">
            <v>81687</v>
          </cell>
        </row>
        <row r="18">
          <cell r="A18" t="str">
            <v>B2.8</v>
          </cell>
          <cell r="B18" t="str">
            <v>leczenie stomatologiczne</v>
          </cell>
          <cell r="C18">
            <v>204744</v>
          </cell>
          <cell r="D18">
            <v>204744</v>
          </cell>
        </row>
        <row r="19">
          <cell r="A19" t="str">
            <v>B2.9</v>
          </cell>
          <cell r="B19" t="str">
            <v>lecznictwo uzdrowiskowe</v>
          </cell>
          <cell r="C19">
            <v>73014</v>
          </cell>
          <cell r="D19">
            <v>73014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6225</v>
          </cell>
          <cell r="D20">
            <v>6225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31868</v>
          </cell>
          <cell r="D21">
            <v>31868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253256</v>
          </cell>
          <cell r="D22">
            <v>253256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154381</v>
          </cell>
          <cell r="D23">
            <v>154381</v>
          </cell>
        </row>
        <row r="24">
          <cell r="A24" t="str">
            <v>B2.14</v>
          </cell>
          <cell r="B24" t="str">
            <v>refundacja, z tego:</v>
          </cell>
          <cell r="C24">
            <v>1040221</v>
          </cell>
          <cell r="D24">
            <v>1040221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1037512</v>
          </cell>
          <cell r="D25">
            <v>1037512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2020</v>
          </cell>
          <cell r="D26">
            <v>2020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689</v>
          </cell>
          <cell r="D27">
            <v>689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33480</v>
          </cell>
          <cell r="D32">
            <v>33480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3000</v>
          </cell>
          <cell r="D34">
            <v>3000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5630</v>
          </cell>
          <cell r="D35">
            <v>5630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202473</v>
          </cell>
          <cell r="D37">
            <v>202473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77355</v>
          </cell>
          <cell r="D38">
            <v>77355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1526618</v>
          </cell>
          <cell r="D39">
            <v>1526618</v>
          </cell>
        </row>
        <row r="40">
          <cell r="A40" t="str">
            <v>D</v>
          </cell>
          <cell r="B40" t="str">
            <v>Koszty administracyjne ( D1+...+D8 )</v>
          </cell>
          <cell r="C40">
            <v>68611</v>
          </cell>
          <cell r="D40">
            <v>68611</v>
          </cell>
        </row>
        <row r="41">
          <cell r="A41" t="str">
            <v>D1</v>
          </cell>
          <cell r="B41" t="str">
            <v>zużycie materiałów i energii</v>
          </cell>
          <cell r="C41">
            <v>2479</v>
          </cell>
          <cell r="D41">
            <v>2479</v>
          </cell>
        </row>
        <row r="42">
          <cell r="A42" t="str">
            <v>D2</v>
          </cell>
          <cell r="B42" t="str">
            <v>usługi obce</v>
          </cell>
          <cell r="C42">
            <v>9107</v>
          </cell>
          <cell r="D42">
            <v>9107</v>
          </cell>
        </row>
        <row r="43">
          <cell r="A43" t="str">
            <v>D3</v>
          </cell>
          <cell r="B43" t="str">
            <v>podatki i opłaty, z tego</v>
          </cell>
          <cell r="C43">
            <v>475</v>
          </cell>
          <cell r="D43">
            <v>475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130</v>
          </cell>
          <cell r="D44">
            <v>130</v>
          </cell>
        </row>
        <row r="45">
          <cell r="A45" t="str">
            <v>D3.1.1</v>
          </cell>
          <cell r="B45" t="str">
            <v>podatek od nieruchomości</v>
          </cell>
          <cell r="C45">
            <v>130</v>
          </cell>
          <cell r="D45">
            <v>130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10</v>
          </cell>
          <cell r="D46">
            <v>10</v>
          </cell>
        </row>
        <row r="47">
          <cell r="A47" t="str">
            <v>D3.3</v>
          </cell>
          <cell r="B47" t="str">
            <v>VAT</v>
          </cell>
          <cell r="C47">
            <v>1</v>
          </cell>
          <cell r="D47">
            <v>1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310</v>
          </cell>
          <cell r="D49">
            <v>310</v>
          </cell>
        </row>
        <row r="50">
          <cell r="A50" t="str">
            <v>D3.6</v>
          </cell>
          <cell r="B50" t="str">
            <v>inne</v>
          </cell>
          <cell r="C50">
            <v>24</v>
          </cell>
          <cell r="D50">
            <v>24</v>
          </cell>
        </row>
        <row r="51">
          <cell r="A51" t="str">
            <v>D4</v>
          </cell>
          <cell r="B51" t="str">
            <v>wynagrodzenia, w tym:</v>
          </cell>
          <cell r="C51">
            <v>40930</v>
          </cell>
          <cell r="D51">
            <v>40930</v>
          </cell>
        </row>
        <row r="52">
          <cell r="A52" t="str">
            <v>D4.1</v>
          </cell>
          <cell r="B52" t="str">
            <v>wynagrodzenia bezosobowe</v>
          </cell>
          <cell r="C52">
            <v>250</v>
          </cell>
          <cell r="D52">
            <v>250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9175</v>
          </cell>
          <cell r="D53">
            <v>9175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7021</v>
          </cell>
          <cell r="D54">
            <v>7021</v>
          </cell>
        </row>
        <row r="55">
          <cell r="A55" t="str">
            <v>D5.2</v>
          </cell>
          <cell r="B55" t="str">
            <v>składki na Fundusz Pracy</v>
          </cell>
          <cell r="C55">
            <v>1003</v>
          </cell>
          <cell r="D55">
            <v>1003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1151</v>
          </cell>
          <cell r="D57">
            <v>1151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6136</v>
          </cell>
          <cell r="D59">
            <v>6136</v>
          </cell>
        </row>
        <row r="60">
          <cell r="A60" t="str">
            <v>D8</v>
          </cell>
          <cell r="B60" t="str">
            <v>pozostałe koszty administracyjne</v>
          </cell>
          <cell r="C60">
            <v>309</v>
          </cell>
          <cell r="D60">
            <v>309</v>
          </cell>
        </row>
        <row r="61">
          <cell r="A61" t="str">
            <v>F</v>
          </cell>
          <cell r="B61" t="str">
            <v>Pozostałe koszty (F1+...+F4)</v>
          </cell>
          <cell r="C61">
            <v>15522</v>
          </cell>
          <cell r="D61">
            <v>15522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300</v>
          </cell>
          <cell r="D62">
            <v>300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11108</v>
          </cell>
          <cell r="D63">
            <v>11108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4114</v>
          </cell>
          <cell r="D65">
            <v>4114</v>
          </cell>
        </row>
        <row r="66">
          <cell r="A66" t="str">
            <v>H</v>
          </cell>
          <cell r="B66" t="str">
            <v>Koszty finansowe</v>
          </cell>
          <cell r="C66">
            <v>1355</v>
          </cell>
          <cell r="D66">
            <v>1355</v>
          </cell>
        </row>
      </sheetData>
      <sheetData sheetId="15">
        <row r="7">
          <cell r="A7" t="str">
            <v>B2.1</v>
          </cell>
          <cell r="B7" t="str">
            <v>podstawowa opieka zdrowotna</v>
          </cell>
          <cell r="C7">
            <v>322518</v>
          </cell>
          <cell r="D7">
            <v>322518</v>
          </cell>
        </row>
        <row r="8">
          <cell r="A8" t="str">
            <v>B2.2</v>
          </cell>
          <cell r="B8" t="str">
            <v>ambulatoryjna opieka specjalistyczna</v>
          </cell>
          <cell r="C8">
            <v>156225</v>
          </cell>
          <cell r="D8">
            <v>156225</v>
          </cell>
        </row>
        <row r="9">
          <cell r="A9" t="str">
            <v>B2.3</v>
          </cell>
          <cell r="B9" t="str">
            <v>leczenie szpitalne, w tym:</v>
          </cell>
          <cell r="C9">
            <v>1375301</v>
          </cell>
          <cell r="D9">
            <v>1375301</v>
          </cell>
        </row>
        <row r="10">
          <cell r="A10" t="str">
            <v>B2.3.1</v>
          </cell>
          <cell r="B10" t="str">
            <v>programy lekowe, w tym:</v>
          </cell>
          <cell r="C10">
            <v>123552</v>
          </cell>
          <cell r="D10">
            <v>123552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110152</v>
          </cell>
          <cell r="D11">
            <v>110152</v>
          </cell>
        </row>
        <row r="12">
          <cell r="A12" t="str">
            <v>B2.3.2</v>
          </cell>
          <cell r="B12" t="str">
            <v>chemioterapia, w tym:</v>
          </cell>
          <cell r="C12">
            <v>58603</v>
          </cell>
          <cell r="D12">
            <v>58603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27103</v>
          </cell>
          <cell r="D13">
            <v>27103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91866</v>
          </cell>
          <cell r="D14">
            <v>91866</v>
          </cell>
        </row>
        <row r="15">
          <cell r="A15" t="str">
            <v>B2.5</v>
          </cell>
          <cell r="B15" t="str">
            <v>rehabilitacja lecznicza</v>
          </cell>
          <cell r="C15">
            <v>82422</v>
          </cell>
          <cell r="D15">
            <v>82422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60180</v>
          </cell>
          <cell r="D16">
            <v>60180</v>
          </cell>
        </row>
        <row r="17">
          <cell r="A17" t="str">
            <v>B2.7</v>
          </cell>
          <cell r="B17" t="str">
            <v>opieka paliatywna i hospicyjna</v>
          </cell>
          <cell r="C17">
            <v>30335</v>
          </cell>
          <cell r="D17">
            <v>30335</v>
          </cell>
        </row>
        <row r="18">
          <cell r="A18" t="str">
            <v>B2.8</v>
          </cell>
          <cell r="B18" t="str">
            <v>leczenie stomatologiczne</v>
          </cell>
          <cell r="C18">
            <v>66548</v>
          </cell>
          <cell r="D18">
            <v>66548</v>
          </cell>
        </row>
        <row r="19">
          <cell r="A19" t="str">
            <v>B2.9</v>
          </cell>
          <cell r="B19" t="str">
            <v>lecznictwo uzdrowiskowe</v>
          </cell>
          <cell r="C19">
            <v>26757</v>
          </cell>
          <cell r="D19">
            <v>26757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1660</v>
          </cell>
          <cell r="D20">
            <v>1660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6079</v>
          </cell>
          <cell r="D21">
            <v>6079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56052</v>
          </cell>
          <cell r="D22">
            <v>56052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34500</v>
          </cell>
          <cell r="D23">
            <v>34500</v>
          </cell>
        </row>
        <row r="24">
          <cell r="A24" t="str">
            <v>B2.14</v>
          </cell>
          <cell r="B24" t="str">
            <v>refundacja, z tego:</v>
          </cell>
          <cell r="C24">
            <v>265706</v>
          </cell>
          <cell r="D24">
            <v>265706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264916</v>
          </cell>
          <cell r="D25">
            <v>264916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590</v>
          </cell>
          <cell r="D26">
            <v>590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5780</v>
          </cell>
          <cell r="D32">
            <v>5780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529</v>
          </cell>
          <cell r="D34">
            <v>529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1425</v>
          </cell>
          <cell r="D35">
            <v>1425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60258</v>
          </cell>
          <cell r="D37">
            <v>60258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23614</v>
          </cell>
          <cell r="D38">
            <v>23614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402961</v>
          </cell>
          <cell r="D39">
            <v>402961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17756</v>
          </cell>
          <cell r="D40">
            <v>17756</v>
          </cell>
        </row>
        <row r="41">
          <cell r="A41" t="str">
            <v>D1</v>
          </cell>
          <cell r="B41" t="str">
            <v>zużycie materiałów i energii</v>
          </cell>
          <cell r="C41">
            <v>632</v>
          </cell>
          <cell r="D41">
            <v>632</v>
          </cell>
        </row>
        <row r="42">
          <cell r="A42" t="str">
            <v>D2</v>
          </cell>
          <cell r="B42" t="str">
            <v>usługi obce</v>
          </cell>
          <cell r="C42">
            <v>2215</v>
          </cell>
          <cell r="D42">
            <v>2215</v>
          </cell>
        </row>
        <row r="43">
          <cell r="A43" t="str">
            <v>D3</v>
          </cell>
          <cell r="B43" t="str">
            <v>podatki i opłaty, z tego</v>
          </cell>
          <cell r="C43">
            <v>61</v>
          </cell>
          <cell r="D43">
            <v>61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7</v>
          </cell>
          <cell r="D44">
            <v>7</v>
          </cell>
        </row>
        <row r="45">
          <cell r="A45" t="str">
            <v>D3.1.1</v>
          </cell>
          <cell r="B45" t="str">
            <v>podatek od nieruchomości</v>
          </cell>
          <cell r="C45">
            <v>7</v>
          </cell>
          <cell r="D45">
            <v>7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17</v>
          </cell>
          <cell r="D46">
            <v>17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20</v>
          </cell>
          <cell r="D49">
            <v>20</v>
          </cell>
        </row>
        <row r="50">
          <cell r="A50" t="str">
            <v>D3.6</v>
          </cell>
          <cell r="B50" t="str">
            <v>inne</v>
          </cell>
          <cell r="C50">
            <v>17</v>
          </cell>
          <cell r="D50">
            <v>17</v>
          </cell>
        </row>
        <row r="51">
          <cell r="A51" t="str">
            <v>D4</v>
          </cell>
          <cell r="B51" t="str">
            <v>wynagrodzenia, w tym:</v>
          </cell>
          <cell r="C51">
            <v>11600</v>
          </cell>
          <cell r="D51">
            <v>11600</v>
          </cell>
        </row>
        <row r="52">
          <cell r="A52" t="str">
            <v>D4.1</v>
          </cell>
          <cell r="B52" t="str">
            <v>wynagrodzenia bezosobowe</v>
          </cell>
          <cell r="C52">
            <v>36</v>
          </cell>
          <cell r="D52">
            <v>36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2603</v>
          </cell>
          <cell r="D53">
            <v>2603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1992</v>
          </cell>
          <cell r="D54">
            <v>1992</v>
          </cell>
        </row>
        <row r="55">
          <cell r="A55" t="str">
            <v>D5.2</v>
          </cell>
          <cell r="B55" t="str">
            <v>składki na Fundusz Pracy</v>
          </cell>
          <cell r="C55">
            <v>285</v>
          </cell>
          <cell r="D55">
            <v>285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326</v>
          </cell>
          <cell r="D57">
            <v>326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460</v>
          </cell>
          <cell r="D59">
            <v>460</v>
          </cell>
        </row>
        <row r="60">
          <cell r="A60" t="str">
            <v>D8</v>
          </cell>
          <cell r="B60" t="str">
            <v>pozostałe koszty administracyjne</v>
          </cell>
          <cell r="C60">
            <v>185</v>
          </cell>
          <cell r="D60">
            <v>185</v>
          </cell>
        </row>
        <row r="61">
          <cell r="A61" t="str">
            <v>F</v>
          </cell>
          <cell r="B61" t="str">
            <v>Pozostałe koszty (F1+...+F4)</v>
          </cell>
          <cell r="C61">
            <v>10795</v>
          </cell>
          <cell r="D61">
            <v>10795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10239</v>
          </cell>
          <cell r="D63">
            <v>10239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556</v>
          </cell>
          <cell r="D65">
            <v>556</v>
          </cell>
        </row>
        <row r="66">
          <cell r="A66" t="str">
            <v>H</v>
          </cell>
          <cell r="B66" t="str">
            <v>Koszty finansowe</v>
          </cell>
          <cell r="C66">
            <v>3885</v>
          </cell>
          <cell r="D66">
            <v>3885</v>
          </cell>
        </row>
      </sheetData>
      <sheetData sheetId="16">
        <row r="7">
          <cell r="A7" t="str">
            <v>B2.1</v>
          </cell>
          <cell r="B7" t="str">
            <v>podstawowa opieka zdrowotna</v>
          </cell>
          <cell r="C7">
            <v>372944</v>
          </cell>
          <cell r="D7">
            <v>372944</v>
          </cell>
        </row>
        <row r="8">
          <cell r="A8" t="str">
            <v>B2.2</v>
          </cell>
          <cell r="B8" t="str">
            <v>ambulatoryjna opieka specjalistyczna</v>
          </cell>
          <cell r="C8">
            <v>163603</v>
          </cell>
          <cell r="D8">
            <v>163603</v>
          </cell>
        </row>
        <row r="9">
          <cell r="A9" t="str">
            <v>B2.3</v>
          </cell>
          <cell r="B9" t="str">
            <v>leczenie szpitalne, w tym:</v>
          </cell>
          <cell r="C9">
            <v>1399730</v>
          </cell>
          <cell r="D9">
            <v>1399730</v>
          </cell>
        </row>
        <row r="10">
          <cell r="A10" t="str">
            <v>B2.3.1</v>
          </cell>
          <cell r="B10" t="str">
            <v>programy lekowe, w tym:</v>
          </cell>
          <cell r="C10">
            <v>106344</v>
          </cell>
          <cell r="D10">
            <v>106344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95519</v>
          </cell>
          <cell r="D11">
            <v>95519</v>
          </cell>
        </row>
        <row r="12">
          <cell r="A12" t="str">
            <v>B2.3.2</v>
          </cell>
          <cell r="B12" t="str">
            <v>chemioterapia, w tym:</v>
          </cell>
          <cell r="C12">
            <v>48395</v>
          </cell>
          <cell r="D12">
            <v>48395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21530</v>
          </cell>
          <cell r="D13">
            <v>21530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107606</v>
          </cell>
          <cell r="D14">
            <v>107606</v>
          </cell>
        </row>
        <row r="15">
          <cell r="A15" t="str">
            <v>B2.5</v>
          </cell>
          <cell r="B15" t="str">
            <v>rehabilitacja lecznicza</v>
          </cell>
          <cell r="C15">
            <v>76217</v>
          </cell>
          <cell r="D15">
            <v>76217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46631</v>
          </cell>
          <cell r="D16">
            <v>46631</v>
          </cell>
        </row>
        <row r="17">
          <cell r="A17" t="str">
            <v>B2.7</v>
          </cell>
          <cell r="B17" t="str">
            <v>opieka paliatywna i hospicyjna</v>
          </cell>
          <cell r="C17">
            <v>23580</v>
          </cell>
          <cell r="D17">
            <v>23580</v>
          </cell>
        </row>
        <row r="18">
          <cell r="A18" t="str">
            <v>B2.8</v>
          </cell>
          <cell r="B18" t="str">
            <v>leczenie stomatologiczne</v>
          </cell>
          <cell r="C18">
            <v>80845</v>
          </cell>
          <cell r="D18">
            <v>80845</v>
          </cell>
        </row>
        <row r="19">
          <cell r="A19" t="str">
            <v>B2.9</v>
          </cell>
          <cell r="B19" t="str">
            <v>lecznictwo uzdrowiskowe</v>
          </cell>
          <cell r="C19">
            <v>21295</v>
          </cell>
          <cell r="D19">
            <v>21295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2925</v>
          </cell>
          <cell r="D20">
            <v>2925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6704</v>
          </cell>
          <cell r="D21">
            <v>6704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66785</v>
          </cell>
          <cell r="D22">
            <v>66785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34984</v>
          </cell>
          <cell r="D23">
            <v>34984</v>
          </cell>
        </row>
        <row r="24">
          <cell r="A24" t="str">
            <v>B2.14</v>
          </cell>
          <cell r="B24" t="str">
            <v>refundacja, z tego:</v>
          </cell>
          <cell r="C24">
            <v>281372</v>
          </cell>
          <cell r="D24">
            <v>281372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280702</v>
          </cell>
          <cell r="D25">
            <v>280702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520</v>
          </cell>
          <cell r="D26">
            <v>520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</v>
          </cell>
          <cell r="D27">
            <v>150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15057</v>
          </cell>
          <cell r="D32">
            <v>15057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208</v>
          </cell>
          <cell r="D34">
            <v>208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1080</v>
          </cell>
          <cell r="D35">
            <v>1080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98471</v>
          </cell>
          <cell r="D37">
            <v>98471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21132</v>
          </cell>
          <cell r="D38">
            <v>21132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398421</v>
          </cell>
          <cell r="D39">
            <v>398421</v>
          </cell>
        </row>
        <row r="40">
          <cell r="A40" t="str">
            <v>D</v>
          </cell>
          <cell r="B40" t="str">
            <v>Koszty administracyjne ( D1+...+D8 )</v>
          </cell>
          <cell r="C40">
            <v>20119</v>
          </cell>
          <cell r="D40">
            <v>20119</v>
          </cell>
        </row>
        <row r="41">
          <cell r="A41" t="str">
            <v>D1</v>
          </cell>
          <cell r="B41" t="str">
            <v>zużycie materiałów i energii</v>
          </cell>
          <cell r="C41">
            <v>629</v>
          </cell>
          <cell r="D41">
            <v>629</v>
          </cell>
        </row>
        <row r="42">
          <cell r="A42" t="str">
            <v>D2</v>
          </cell>
          <cell r="B42" t="str">
            <v>usługi obce</v>
          </cell>
          <cell r="C42">
            <v>2285</v>
          </cell>
          <cell r="D42">
            <v>2285</v>
          </cell>
        </row>
        <row r="43">
          <cell r="A43" t="str">
            <v>D3</v>
          </cell>
          <cell r="B43" t="str">
            <v>podatki i opłaty, z tego</v>
          </cell>
          <cell r="C43">
            <v>141</v>
          </cell>
          <cell r="D43">
            <v>141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31</v>
          </cell>
          <cell r="D44">
            <v>31</v>
          </cell>
        </row>
        <row r="45">
          <cell r="A45" t="str">
            <v>D3.1.1</v>
          </cell>
          <cell r="B45" t="str">
            <v>podatek od nieruchomości</v>
          </cell>
          <cell r="C45">
            <v>28</v>
          </cell>
          <cell r="D45">
            <v>28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11</v>
          </cell>
          <cell r="D46">
            <v>11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96</v>
          </cell>
          <cell r="D49">
            <v>96</v>
          </cell>
        </row>
        <row r="50">
          <cell r="A50" t="str">
            <v>D3.6</v>
          </cell>
          <cell r="B50" t="str">
            <v>inne</v>
          </cell>
          <cell r="C50">
            <v>3</v>
          </cell>
          <cell r="D50">
            <v>3</v>
          </cell>
        </row>
        <row r="51">
          <cell r="A51" t="str">
            <v>D4</v>
          </cell>
          <cell r="B51" t="str">
            <v>wynagrodzenia, w tym:</v>
          </cell>
          <cell r="C51">
            <v>12324</v>
          </cell>
          <cell r="D51">
            <v>12324</v>
          </cell>
        </row>
        <row r="52">
          <cell r="A52" t="str">
            <v>D4.1</v>
          </cell>
          <cell r="B52" t="str">
            <v>wynagrodzenia bezosobowe</v>
          </cell>
          <cell r="C52">
            <v>30</v>
          </cell>
          <cell r="D52">
            <v>30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2749</v>
          </cell>
          <cell r="D53">
            <v>2749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2117</v>
          </cell>
          <cell r="D54">
            <v>2117</v>
          </cell>
        </row>
        <row r="55">
          <cell r="A55" t="str">
            <v>D5.2</v>
          </cell>
          <cell r="B55" t="str">
            <v>składki na Fundusz Pracy</v>
          </cell>
          <cell r="C55">
            <v>302</v>
          </cell>
          <cell r="D55">
            <v>302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330</v>
          </cell>
          <cell r="D57">
            <v>330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1822</v>
          </cell>
          <cell r="D59">
            <v>1822</v>
          </cell>
        </row>
        <row r="60">
          <cell r="A60" t="str">
            <v>D8</v>
          </cell>
          <cell r="B60" t="str">
            <v>pozostałe koszty administracyjne</v>
          </cell>
          <cell r="C60">
            <v>169</v>
          </cell>
          <cell r="D60">
            <v>169</v>
          </cell>
        </row>
        <row r="61">
          <cell r="A61" t="str">
            <v>F</v>
          </cell>
          <cell r="B61" t="str">
            <v>Pozostałe koszty (F1+...+F4)</v>
          </cell>
          <cell r="C61">
            <v>946</v>
          </cell>
          <cell r="D61">
            <v>946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209</v>
          </cell>
          <cell r="D63">
            <v>209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737</v>
          </cell>
          <cell r="D65">
            <v>737</v>
          </cell>
        </row>
        <row r="66">
          <cell r="A66" t="str">
            <v>H</v>
          </cell>
          <cell r="B66" t="str">
            <v>Koszty finansowe</v>
          </cell>
          <cell r="C66">
            <v>45</v>
          </cell>
          <cell r="D66">
            <v>45</v>
          </cell>
        </row>
      </sheetData>
      <sheetData sheetId="17">
        <row r="7">
          <cell r="A7" t="str">
            <v>B2.1</v>
          </cell>
          <cell r="B7" t="str">
            <v>podstawowa opieka zdrowotna</v>
          </cell>
          <cell r="C7">
            <v>955000</v>
          </cell>
          <cell r="D7">
            <v>955000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444589</v>
          </cell>
          <cell r="D8">
            <v>444589</v>
          </cell>
        </row>
        <row r="9">
          <cell r="A9" t="str">
            <v>B2.3</v>
          </cell>
          <cell r="B9" t="str">
            <v>leczenie szpitalne, w tym:</v>
          </cell>
          <cell r="C9">
            <v>3575062</v>
          </cell>
          <cell r="D9">
            <v>3575062</v>
          </cell>
        </row>
        <row r="10">
          <cell r="A10" t="str">
            <v>B2.3.1</v>
          </cell>
          <cell r="B10" t="str">
            <v>programy lekowe, w tym:</v>
          </cell>
          <cell r="C10">
            <v>334279</v>
          </cell>
          <cell r="D10">
            <v>334279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306369</v>
          </cell>
          <cell r="D11">
            <v>306369</v>
          </cell>
        </row>
        <row r="12">
          <cell r="A12" t="str">
            <v>B2.3.2</v>
          </cell>
          <cell r="B12" t="str">
            <v>chemioterapia, w tym:</v>
          </cell>
          <cell r="C12">
            <v>139738</v>
          </cell>
          <cell r="D12">
            <v>139738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65734</v>
          </cell>
          <cell r="D13">
            <v>65734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245186</v>
          </cell>
          <cell r="D14">
            <v>245186</v>
          </cell>
        </row>
        <row r="15">
          <cell r="A15" t="str">
            <v>B2.5</v>
          </cell>
          <cell r="B15" t="str">
            <v>rehabilitacja lecznicza</v>
          </cell>
          <cell r="C15">
            <v>184351</v>
          </cell>
          <cell r="D15">
            <v>184351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94921</v>
          </cell>
          <cell r="D16">
            <v>94921</v>
          </cell>
        </row>
        <row r="17">
          <cell r="A17" t="str">
            <v>B2.7</v>
          </cell>
          <cell r="B17" t="str">
            <v>opieka paliatywna i hospicyjna</v>
          </cell>
          <cell r="C17">
            <v>65162</v>
          </cell>
          <cell r="D17">
            <v>65162</v>
          </cell>
        </row>
        <row r="18">
          <cell r="A18" t="str">
            <v>B2.8</v>
          </cell>
          <cell r="B18" t="str">
            <v>leczenie stomatologiczne</v>
          </cell>
          <cell r="C18">
            <v>153815</v>
          </cell>
          <cell r="D18">
            <v>153815</v>
          </cell>
        </row>
        <row r="19">
          <cell r="A19" t="str">
            <v>B2.9</v>
          </cell>
          <cell r="B19" t="str">
            <v>lecznictwo uzdrowiskowe</v>
          </cell>
          <cell r="C19">
            <v>68200</v>
          </cell>
          <cell r="D19">
            <v>68200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3809</v>
          </cell>
          <cell r="D20">
            <v>3809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19263</v>
          </cell>
          <cell r="D21">
            <v>19263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214054</v>
          </cell>
          <cell r="D22">
            <v>214054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92161</v>
          </cell>
          <cell r="D23">
            <v>92161</v>
          </cell>
        </row>
        <row r="24">
          <cell r="A24" t="str">
            <v>B2.14</v>
          </cell>
          <cell r="B24" t="str">
            <v>refundacja, z tego:</v>
          </cell>
          <cell r="C24">
            <v>811070</v>
          </cell>
          <cell r="D24">
            <v>811070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808070</v>
          </cell>
          <cell r="D25">
            <v>808070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1500</v>
          </cell>
          <cell r="D27">
            <v>1500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46310</v>
          </cell>
          <cell r="D32">
            <v>46310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5000</v>
          </cell>
          <cell r="D34">
            <v>5000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4030</v>
          </cell>
          <cell r="D35">
            <v>4030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151671</v>
          </cell>
          <cell r="D37">
            <v>151671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50651</v>
          </cell>
          <cell r="D38">
            <v>50651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1183173</v>
          </cell>
          <cell r="D39">
            <v>1183173</v>
          </cell>
        </row>
        <row r="40">
          <cell r="A40" t="str">
            <v>D</v>
          </cell>
          <cell r="B40" t="str">
            <v>Koszty administracyjne ( D1+...+D8 )</v>
          </cell>
          <cell r="C40">
            <v>46272</v>
          </cell>
          <cell r="D40">
            <v>46272</v>
          </cell>
        </row>
        <row r="41">
          <cell r="A41" t="str">
            <v>D1</v>
          </cell>
          <cell r="B41" t="str">
            <v>zużycie materiałów i energii</v>
          </cell>
          <cell r="C41">
            <v>2414</v>
          </cell>
          <cell r="D41">
            <v>2414</v>
          </cell>
        </row>
        <row r="42">
          <cell r="A42" t="str">
            <v>D2</v>
          </cell>
          <cell r="B42" t="str">
            <v>usługi obce</v>
          </cell>
          <cell r="C42">
            <v>8149</v>
          </cell>
          <cell r="D42">
            <v>8149</v>
          </cell>
        </row>
        <row r="43">
          <cell r="A43" t="str">
            <v>D3</v>
          </cell>
          <cell r="B43" t="str">
            <v>podatki i opłaty, z tego</v>
          </cell>
          <cell r="C43">
            <v>567</v>
          </cell>
          <cell r="D43">
            <v>567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53</v>
          </cell>
          <cell r="D44">
            <v>53</v>
          </cell>
        </row>
        <row r="45">
          <cell r="A45" t="str">
            <v>D3.1.1</v>
          </cell>
          <cell r="B45" t="str">
            <v>podatek od nieruchomości</v>
          </cell>
          <cell r="C45">
            <v>53</v>
          </cell>
          <cell r="D45">
            <v>53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246</v>
          </cell>
          <cell r="D46">
            <v>246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262</v>
          </cell>
          <cell r="D49">
            <v>262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24868</v>
          </cell>
          <cell r="D51">
            <v>24868</v>
          </cell>
        </row>
        <row r="52">
          <cell r="A52" t="str">
            <v>D4.1</v>
          </cell>
          <cell r="B52" t="str">
            <v>wynagrodzenia bezosobowe</v>
          </cell>
          <cell r="C52">
            <v>123</v>
          </cell>
          <cell r="D52">
            <v>123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5576</v>
          </cell>
          <cell r="D53">
            <v>5576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4270</v>
          </cell>
          <cell r="D54">
            <v>4270</v>
          </cell>
        </row>
        <row r="55">
          <cell r="A55" t="str">
            <v>D5.2</v>
          </cell>
          <cell r="B55" t="str">
            <v>składki na Fundusz Pracy</v>
          </cell>
          <cell r="C55">
            <v>609</v>
          </cell>
          <cell r="D55">
            <v>609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697</v>
          </cell>
          <cell r="D57">
            <v>697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4168</v>
          </cell>
          <cell r="D59">
            <v>4168</v>
          </cell>
        </row>
        <row r="60">
          <cell r="A60" t="str">
            <v>D8</v>
          </cell>
          <cell r="B60" t="str">
            <v>pozostałe koszty administracyjne</v>
          </cell>
          <cell r="C60">
            <v>530</v>
          </cell>
          <cell r="D60">
            <v>530</v>
          </cell>
        </row>
        <row r="61">
          <cell r="A61" t="str">
            <v>F</v>
          </cell>
          <cell r="B61" t="str">
            <v>Pozostałe koszty (F1+...+F4)</v>
          </cell>
          <cell r="C61">
            <v>19850</v>
          </cell>
          <cell r="D61">
            <v>19850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50</v>
          </cell>
          <cell r="D62">
            <v>50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18600</v>
          </cell>
          <cell r="D63">
            <v>18600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1200</v>
          </cell>
          <cell r="D65">
            <v>1200</v>
          </cell>
        </row>
        <row r="66">
          <cell r="A66" t="str">
            <v>H</v>
          </cell>
          <cell r="B66" t="str">
            <v>Koszty finansowe</v>
          </cell>
          <cell r="C66">
            <v>3200</v>
          </cell>
          <cell r="D66">
            <v>3200</v>
          </cell>
        </row>
      </sheetData>
      <sheetData sheetId="18">
        <row r="7">
          <cell r="A7" t="str">
            <v>B2.1</v>
          </cell>
          <cell r="B7" t="str">
            <v>podstawowa opieka zdrowotna</v>
          </cell>
          <cell r="C7">
            <v>454271</v>
          </cell>
          <cell r="D7">
            <v>454271</v>
          </cell>
        </row>
        <row r="8">
          <cell r="A8" t="str">
            <v>B2.2</v>
          </cell>
          <cell r="B8" t="str">
            <v>ambulatoryjna opieka specjalistyczna</v>
          </cell>
          <cell r="C8">
            <v>182800</v>
          </cell>
          <cell r="D8">
            <v>182800</v>
          </cell>
        </row>
        <row r="9">
          <cell r="A9" t="str">
            <v>B2.3</v>
          </cell>
          <cell r="B9" t="str">
            <v>leczenie szpitalne, w tym:</v>
          </cell>
          <cell r="C9">
            <v>1770867</v>
          </cell>
          <cell r="D9">
            <v>1770867</v>
          </cell>
        </row>
        <row r="10">
          <cell r="A10" t="str">
            <v>B2.3.1</v>
          </cell>
          <cell r="B10" t="str">
            <v>programy lekowe, w tym:</v>
          </cell>
          <cell r="C10">
            <v>134200</v>
          </cell>
          <cell r="D10">
            <v>134200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121500</v>
          </cell>
          <cell r="D11">
            <v>121500</v>
          </cell>
        </row>
        <row r="12">
          <cell r="A12" t="str">
            <v>B2.3.2</v>
          </cell>
          <cell r="B12" t="str">
            <v>chemioterapia, w tym:</v>
          </cell>
          <cell r="C12">
            <v>61700</v>
          </cell>
          <cell r="D12">
            <v>61700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28200</v>
          </cell>
          <cell r="D13">
            <v>28200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110316</v>
          </cell>
          <cell r="D14">
            <v>110316</v>
          </cell>
        </row>
        <row r="15">
          <cell r="A15" t="str">
            <v>B2.5</v>
          </cell>
          <cell r="B15" t="str">
            <v>rehabilitacja lecznicza</v>
          </cell>
          <cell r="C15">
            <v>82479</v>
          </cell>
          <cell r="D15">
            <v>82479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52376</v>
          </cell>
          <cell r="D16">
            <v>52376</v>
          </cell>
        </row>
        <row r="17">
          <cell r="A17" t="str">
            <v>B2.7</v>
          </cell>
          <cell r="B17" t="str">
            <v>opieka paliatywna i hospicyjna</v>
          </cell>
          <cell r="C17">
            <v>18761</v>
          </cell>
          <cell r="D17">
            <v>18761</v>
          </cell>
        </row>
        <row r="18">
          <cell r="A18" t="str">
            <v>B2.8</v>
          </cell>
          <cell r="B18" t="str">
            <v>leczenie stomatologiczne</v>
          </cell>
          <cell r="C18">
            <v>85954</v>
          </cell>
          <cell r="D18">
            <v>85954</v>
          </cell>
        </row>
        <row r="19">
          <cell r="A19" t="str">
            <v>B2.9</v>
          </cell>
          <cell r="B19" t="str">
            <v>lecznictwo uzdrowiskowe</v>
          </cell>
          <cell r="C19">
            <v>29770</v>
          </cell>
          <cell r="D19">
            <v>29770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2528</v>
          </cell>
          <cell r="D20">
            <v>2528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10433</v>
          </cell>
          <cell r="D21">
            <v>10433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128093</v>
          </cell>
          <cell r="D22">
            <v>128093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44000</v>
          </cell>
          <cell r="D23">
            <v>44000</v>
          </cell>
        </row>
        <row r="24">
          <cell r="A24" t="str">
            <v>B2.14</v>
          </cell>
          <cell r="B24" t="str">
            <v>refundacja, z tego:</v>
          </cell>
          <cell r="C24">
            <v>381398</v>
          </cell>
          <cell r="D24">
            <v>381398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380601</v>
          </cell>
          <cell r="D25">
            <v>380601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430</v>
          </cell>
          <cell r="D26">
            <v>430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367</v>
          </cell>
          <cell r="D27">
            <v>367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12036</v>
          </cell>
          <cell r="D32">
            <v>12036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2000</v>
          </cell>
          <cell r="D34">
            <v>2000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1070</v>
          </cell>
          <cell r="D35">
            <v>1070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306</v>
          </cell>
          <cell r="D36">
            <v>306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106859</v>
          </cell>
          <cell r="D37">
            <v>106859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26238</v>
          </cell>
          <cell r="D38">
            <v>26238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531098</v>
          </cell>
          <cell r="D39">
            <v>531098</v>
          </cell>
        </row>
        <row r="40">
          <cell r="A40" t="str">
            <v>D</v>
          </cell>
          <cell r="B40" t="str">
            <v>Koszty administracyjne ( D1+...+D8 )</v>
          </cell>
          <cell r="C40">
            <v>22645</v>
          </cell>
          <cell r="D40">
            <v>22645</v>
          </cell>
        </row>
        <row r="41">
          <cell r="A41" t="str">
            <v>D1</v>
          </cell>
          <cell r="B41" t="str">
            <v>zużycie materiałów i energii</v>
          </cell>
          <cell r="C41">
            <v>829</v>
          </cell>
          <cell r="D41">
            <v>829</v>
          </cell>
        </row>
        <row r="42">
          <cell r="A42" t="str">
            <v>D2</v>
          </cell>
          <cell r="B42" t="str">
            <v>usługi obce</v>
          </cell>
          <cell r="C42">
            <v>2970</v>
          </cell>
          <cell r="D42">
            <v>2970</v>
          </cell>
        </row>
        <row r="43">
          <cell r="A43" t="str">
            <v>D3</v>
          </cell>
          <cell r="B43" t="str">
            <v>podatki i opłaty, z tego</v>
          </cell>
          <cell r="C43">
            <v>231</v>
          </cell>
          <cell r="D43">
            <v>231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26</v>
          </cell>
          <cell r="D44">
            <v>26</v>
          </cell>
        </row>
        <row r="45">
          <cell r="A45" t="str">
            <v>D3.1.1</v>
          </cell>
          <cell r="B45" t="str">
            <v>podatek od nieruchomości</v>
          </cell>
          <cell r="C45">
            <v>26</v>
          </cell>
          <cell r="D45">
            <v>26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24</v>
          </cell>
          <cell r="D46">
            <v>24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140</v>
          </cell>
          <cell r="D49">
            <v>140</v>
          </cell>
        </row>
        <row r="50">
          <cell r="A50" t="str">
            <v>D3.6</v>
          </cell>
          <cell r="B50" t="str">
            <v>inne</v>
          </cell>
          <cell r="C50">
            <v>41</v>
          </cell>
          <cell r="D50">
            <v>41</v>
          </cell>
        </row>
        <row r="51">
          <cell r="A51" t="str">
            <v>D4</v>
          </cell>
          <cell r="B51" t="str">
            <v>wynagrodzenia, w tym:</v>
          </cell>
          <cell r="C51">
            <v>14250</v>
          </cell>
          <cell r="D51">
            <v>14250</v>
          </cell>
        </row>
        <row r="52">
          <cell r="A52" t="str">
            <v>D4.1</v>
          </cell>
          <cell r="B52" t="str">
            <v>wynagrodzenia bezosobowe</v>
          </cell>
          <cell r="C52">
            <v>57</v>
          </cell>
          <cell r="D52">
            <v>57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3195</v>
          </cell>
          <cell r="D53">
            <v>3195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2445</v>
          </cell>
          <cell r="D54">
            <v>2445</v>
          </cell>
        </row>
        <row r="55">
          <cell r="A55" t="str">
            <v>D5.2</v>
          </cell>
          <cell r="B55" t="str">
            <v>składki na Fundusz Pracy</v>
          </cell>
          <cell r="C55">
            <v>349</v>
          </cell>
          <cell r="D55">
            <v>349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401</v>
          </cell>
          <cell r="D57">
            <v>401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1020</v>
          </cell>
          <cell r="D59">
            <v>1020</v>
          </cell>
        </row>
        <row r="60">
          <cell r="A60" t="str">
            <v>D8</v>
          </cell>
          <cell r="B60" t="str">
            <v>pozostałe koszty administracyjne</v>
          </cell>
          <cell r="C60">
            <v>150</v>
          </cell>
          <cell r="D60">
            <v>150</v>
          </cell>
        </row>
        <row r="61">
          <cell r="A61" t="str">
            <v>F</v>
          </cell>
          <cell r="B61" t="str">
            <v>Pozostałe koszty (F1+...+F4)</v>
          </cell>
          <cell r="C61">
            <v>237</v>
          </cell>
          <cell r="D61">
            <v>237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0</v>
          </cell>
          <cell r="D63">
            <v>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237</v>
          </cell>
          <cell r="D65">
            <v>237</v>
          </cell>
        </row>
        <row r="66">
          <cell r="A66" t="str">
            <v>H</v>
          </cell>
          <cell r="B66" t="str">
            <v>Koszty finansowe</v>
          </cell>
          <cell r="C66">
            <v>66</v>
          </cell>
          <cell r="D66">
            <v>66</v>
          </cell>
        </row>
      </sheetData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view="pageBreakPreview" zoomScale="55" zoomScaleNormal="55" zoomScaleSheetLayoutView="55" workbookViewId="0">
      <pane xSplit="2" ySplit="5" topLeftCell="C78" activePane="bottomRight" state="frozen"/>
      <selection activeCell="L43" sqref="L43"/>
      <selection pane="topRight" activeCell="L43" sqref="L43"/>
      <selection pane="bottomLeft" activeCell="L43" sqref="L43"/>
      <selection pane="bottomRight" activeCell="U74" sqref="T74:U76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7" width="26" style="3" customWidth="1"/>
    <col min="8" max="8" width="17" style="3" bestFit="1" customWidth="1"/>
    <col min="9" max="9" width="25.85546875" style="3" bestFit="1" customWidth="1"/>
    <col min="10" max="11" width="9.140625" style="3" customWidth="1"/>
    <col min="12" max="16384" width="9.140625" style="3"/>
  </cols>
  <sheetData>
    <row r="1" spans="1:9" s="20" customFormat="1" ht="44.25" customHeight="1" x14ac:dyDescent="0.2">
      <c r="A1" s="112" t="s">
        <v>202</v>
      </c>
      <c r="B1" s="112"/>
      <c r="C1" s="112"/>
      <c r="D1" s="112"/>
      <c r="E1" s="112"/>
      <c r="F1" s="112"/>
    </row>
    <row r="2" spans="1:9" s="21" customFormat="1" ht="35.25" customHeight="1" x14ac:dyDescent="0.3">
      <c r="A2" s="111" t="s">
        <v>164</v>
      </c>
      <c r="B2" s="111"/>
      <c r="C2" s="35"/>
    </row>
    <row r="3" spans="1:9" s="6" customFormat="1" ht="36" customHeight="1" x14ac:dyDescent="0.25">
      <c r="A3" s="4"/>
      <c r="B3" s="5"/>
      <c r="C3" s="34"/>
      <c r="D3" s="34"/>
      <c r="E3" s="34" t="s">
        <v>138</v>
      </c>
    </row>
    <row r="4" spans="1:9" s="58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9" ht="19.5" customHeight="1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9" s="10" customFormat="1" ht="63.75" customHeight="1" x14ac:dyDescent="0.4">
      <c r="A6" s="99">
        <v>1</v>
      </c>
      <c r="B6" s="66" t="s">
        <v>173</v>
      </c>
      <c r="C6" s="67">
        <f>C7+C8</f>
        <v>79137176</v>
      </c>
      <c r="D6" s="67">
        <f>D7+D8</f>
        <v>79652788</v>
      </c>
      <c r="E6" s="67">
        <f>IF(C6=D6,"-",D6-C6)</f>
        <v>515612</v>
      </c>
      <c r="F6" s="68">
        <f>IF(C6=0,"-",D6/C6)</f>
        <v>1.0065</v>
      </c>
      <c r="H6" s="88"/>
      <c r="I6" s="88"/>
    </row>
    <row r="7" spans="1:9" ht="30" customHeight="1" x14ac:dyDescent="0.4">
      <c r="A7" s="100" t="s">
        <v>75</v>
      </c>
      <c r="B7" s="24" t="s">
        <v>76</v>
      </c>
      <c r="C7" s="7">
        <f>IFERROR(VLOOKUP(A7,[4]NFZ!$A$7:$D$100,4,FALSE),0)</f>
        <v>75773210</v>
      </c>
      <c r="D7" s="7">
        <f>C7+571291</f>
        <v>76344501</v>
      </c>
      <c r="E7" s="7">
        <f t="shared" ref="E7:E82" si="0">IF(C7=D7,"-",D7-C7)</f>
        <v>571291</v>
      </c>
      <c r="F7" s="41">
        <f t="shared" ref="F7:F82" si="1">IF(C7=0,"-",D7/C7)</f>
        <v>1.0075000000000001</v>
      </c>
      <c r="H7" s="88"/>
      <c r="I7" s="88"/>
    </row>
    <row r="8" spans="1:9" ht="30" customHeight="1" x14ac:dyDescent="0.4">
      <c r="A8" s="100" t="s">
        <v>77</v>
      </c>
      <c r="B8" s="24" t="s">
        <v>78</v>
      </c>
      <c r="C8" s="7">
        <f>IFERROR(VLOOKUP(A8,[4]NFZ!$A$7:$D$100,4,FALSE),0)</f>
        <v>3363966</v>
      </c>
      <c r="D8" s="7">
        <f>C8-55679</f>
        <v>3308287</v>
      </c>
      <c r="E8" s="7">
        <f t="shared" si="0"/>
        <v>-55679</v>
      </c>
      <c r="F8" s="41">
        <f t="shared" si="1"/>
        <v>0.98340000000000005</v>
      </c>
      <c r="H8" s="88"/>
      <c r="I8" s="88"/>
    </row>
    <row r="9" spans="1:9" s="10" customFormat="1" ht="38.25" customHeight="1" x14ac:dyDescent="0.4">
      <c r="A9" s="99">
        <v>2</v>
      </c>
      <c r="B9" s="66" t="s">
        <v>174</v>
      </c>
      <c r="C9" s="67">
        <f>C10+C11</f>
        <v>0</v>
      </c>
      <c r="D9" s="67">
        <f>D10+D11</f>
        <v>0</v>
      </c>
      <c r="E9" s="67" t="str">
        <f t="shared" si="0"/>
        <v>-</v>
      </c>
      <c r="F9" s="68" t="str">
        <f t="shared" si="1"/>
        <v>-</v>
      </c>
      <c r="H9" s="88"/>
      <c r="I9" s="88"/>
    </row>
    <row r="10" spans="1:9" ht="30" customHeight="1" x14ac:dyDescent="0.4">
      <c r="A10" s="100" t="s">
        <v>79</v>
      </c>
      <c r="B10" s="24" t="s">
        <v>80</v>
      </c>
      <c r="C10" s="7">
        <f>IFERROR(VLOOKUP(A10,[4]NFZ!$A$7:$D$100,4,FALSE),0)</f>
        <v>0</v>
      </c>
      <c r="D10" s="7">
        <f>C10</f>
        <v>0</v>
      </c>
      <c r="E10" s="7" t="str">
        <f t="shared" si="0"/>
        <v>-</v>
      </c>
      <c r="F10" s="41" t="str">
        <f t="shared" si="1"/>
        <v>-</v>
      </c>
      <c r="H10" s="88"/>
      <c r="I10" s="88"/>
    </row>
    <row r="11" spans="1:9" ht="30" customHeight="1" x14ac:dyDescent="0.4">
      <c r="A11" s="100" t="s">
        <v>81</v>
      </c>
      <c r="B11" s="24" t="s">
        <v>82</v>
      </c>
      <c r="C11" s="7">
        <f>IFERROR(VLOOKUP(A11,[4]NFZ!$A$7:$D$100,4,FALSE),0)</f>
        <v>0</v>
      </c>
      <c r="D11" s="7">
        <f>C11</f>
        <v>0</v>
      </c>
      <c r="E11" s="7" t="str">
        <f t="shared" si="0"/>
        <v>-</v>
      </c>
      <c r="F11" s="41" t="str">
        <f t="shared" si="1"/>
        <v>-</v>
      </c>
      <c r="H11" s="88"/>
      <c r="I11" s="88"/>
    </row>
    <row r="12" spans="1:9" s="10" customFormat="1" ht="39.75" customHeight="1" x14ac:dyDescent="0.4">
      <c r="A12" s="99">
        <v>3</v>
      </c>
      <c r="B12" s="66" t="s">
        <v>175</v>
      </c>
      <c r="C12" s="67">
        <f>C13+C14</f>
        <v>150000</v>
      </c>
      <c r="D12" s="67">
        <f>D13+D14</f>
        <v>150000</v>
      </c>
      <c r="E12" s="67" t="str">
        <f t="shared" si="0"/>
        <v>-</v>
      </c>
      <c r="F12" s="68">
        <f t="shared" si="1"/>
        <v>1</v>
      </c>
      <c r="H12" s="88"/>
      <c r="I12" s="88"/>
    </row>
    <row r="13" spans="1:9" ht="30" customHeight="1" x14ac:dyDescent="0.4">
      <c r="A13" s="100" t="s">
        <v>83</v>
      </c>
      <c r="B13" s="24" t="s">
        <v>76</v>
      </c>
      <c r="C13" s="7">
        <f>IFERROR(VLOOKUP(A13,[4]NFZ!$A$7:$D$100,4,FALSE),0)</f>
        <v>150000</v>
      </c>
      <c r="D13" s="7">
        <f>C13</f>
        <v>150000</v>
      </c>
      <c r="E13" s="7" t="str">
        <f t="shared" si="0"/>
        <v>-</v>
      </c>
      <c r="F13" s="41">
        <f t="shared" si="1"/>
        <v>1</v>
      </c>
      <c r="H13" s="88"/>
      <c r="I13" s="88"/>
    </row>
    <row r="14" spans="1:9" ht="30" customHeight="1" x14ac:dyDescent="0.4">
      <c r="A14" s="100" t="s">
        <v>84</v>
      </c>
      <c r="B14" s="24" t="s">
        <v>78</v>
      </c>
      <c r="C14" s="7">
        <f>IFERROR(VLOOKUP(A14,[4]NFZ!$A$7:$D$100,4,FALSE),0)</f>
        <v>0</v>
      </c>
      <c r="D14" s="7">
        <f>C14</f>
        <v>0</v>
      </c>
      <c r="E14" s="7" t="str">
        <f t="shared" si="0"/>
        <v>-</v>
      </c>
      <c r="F14" s="41" t="str">
        <f t="shared" si="1"/>
        <v>-</v>
      </c>
      <c r="H14" s="88"/>
      <c r="I14" s="88"/>
    </row>
    <row r="15" spans="1:9" s="10" customFormat="1" ht="39" customHeight="1" x14ac:dyDescent="0.4">
      <c r="A15" s="99">
        <v>4</v>
      </c>
      <c r="B15" s="66" t="s">
        <v>176</v>
      </c>
      <c r="C15" s="67">
        <f>C16+C17</f>
        <v>154550</v>
      </c>
      <c r="D15" s="67">
        <f>D16+D17</f>
        <v>155882</v>
      </c>
      <c r="E15" s="67">
        <f t="shared" si="0"/>
        <v>1332</v>
      </c>
      <c r="F15" s="68">
        <f t="shared" si="1"/>
        <v>1.0085999999999999</v>
      </c>
      <c r="H15" s="88"/>
      <c r="I15" s="88"/>
    </row>
    <row r="16" spans="1:9" ht="30" customHeight="1" x14ac:dyDescent="0.4">
      <c r="A16" s="101" t="s">
        <v>85</v>
      </c>
      <c r="B16" s="24" t="s">
        <v>86</v>
      </c>
      <c r="C16" s="7">
        <f>IFERROR(VLOOKUP(A16,[4]NFZ!$A$7:$D$100,4,FALSE),0)</f>
        <v>151546</v>
      </c>
      <c r="D16" s="7">
        <f>C16+1443</f>
        <v>152989</v>
      </c>
      <c r="E16" s="7">
        <f t="shared" si="0"/>
        <v>1443</v>
      </c>
      <c r="F16" s="41">
        <f t="shared" si="1"/>
        <v>1.0095000000000001</v>
      </c>
      <c r="H16" s="88"/>
      <c r="I16" s="88"/>
    </row>
    <row r="17" spans="1:9" ht="30" customHeight="1" x14ac:dyDescent="0.4">
      <c r="A17" s="101" t="s">
        <v>87</v>
      </c>
      <c r="B17" s="24" t="s">
        <v>88</v>
      </c>
      <c r="C17" s="7">
        <f>IFERROR(VLOOKUP(A17,[4]NFZ!$A$7:$D$100,4,FALSE),0)</f>
        <v>3004</v>
      </c>
      <c r="D17" s="7">
        <f>C17-111</f>
        <v>2893</v>
      </c>
      <c r="E17" s="7">
        <f t="shared" si="0"/>
        <v>-111</v>
      </c>
      <c r="F17" s="41">
        <f t="shared" si="1"/>
        <v>0.96299999999999997</v>
      </c>
      <c r="H17" s="88"/>
      <c r="I17" s="88"/>
    </row>
    <row r="18" spans="1:9" s="10" customFormat="1" ht="63.75" customHeight="1" x14ac:dyDescent="0.4">
      <c r="A18" s="99">
        <v>5</v>
      </c>
      <c r="B18" s="66" t="s">
        <v>201</v>
      </c>
      <c r="C18" s="67">
        <f>IFERROR(VLOOKUP(A18,[4]NFZ!$A$7:$D$100,4,FALSE),0)</f>
        <v>26148</v>
      </c>
      <c r="D18" s="67">
        <f>C18</f>
        <v>26148</v>
      </c>
      <c r="E18" s="67" t="str">
        <f t="shared" si="0"/>
        <v>-</v>
      </c>
      <c r="F18" s="68">
        <f t="shared" si="1"/>
        <v>1</v>
      </c>
      <c r="H18" s="88"/>
      <c r="I18" s="88"/>
    </row>
    <row r="19" spans="1:9" s="10" customFormat="1" ht="63.75" customHeight="1" x14ac:dyDescent="0.4">
      <c r="A19" s="102" t="s">
        <v>127</v>
      </c>
      <c r="B19" s="69" t="s">
        <v>170</v>
      </c>
      <c r="C19" s="67">
        <f>(C6-C9+C12-C15-C18)+C20+C21+C22+C23</f>
        <v>82704568</v>
      </c>
      <c r="D19" s="67">
        <f>(D6-D9+D12-D15-D18)+D20+D21+D22+D23</f>
        <v>83218848</v>
      </c>
      <c r="E19" s="67">
        <f t="shared" si="0"/>
        <v>514280</v>
      </c>
      <c r="F19" s="68">
        <f t="shared" si="1"/>
        <v>1.0062</v>
      </c>
      <c r="H19" s="88"/>
      <c r="I19" s="88"/>
    </row>
    <row r="20" spans="1:9" ht="31.5" customHeight="1" x14ac:dyDescent="0.4">
      <c r="A20" s="100" t="s">
        <v>89</v>
      </c>
      <c r="B20" s="25" t="s">
        <v>90</v>
      </c>
      <c r="C20" s="7">
        <f>IFERROR(VLOOKUP(A20,[4]NFZ!$A$7:$D$100,4,FALSE),0)</f>
        <v>241860</v>
      </c>
      <c r="D20" s="7">
        <f>C20</f>
        <v>241860</v>
      </c>
      <c r="E20" s="7" t="str">
        <f t="shared" si="0"/>
        <v>-</v>
      </c>
      <c r="F20" s="41">
        <f t="shared" si="1"/>
        <v>1</v>
      </c>
      <c r="H20" s="88"/>
      <c r="I20" s="88"/>
    </row>
    <row r="21" spans="1:9" ht="31.5" customHeight="1" x14ac:dyDescent="0.4">
      <c r="A21" s="100" t="s">
        <v>91</v>
      </c>
      <c r="B21" s="25" t="s">
        <v>92</v>
      </c>
      <c r="C21" s="7">
        <f>IFERROR(VLOOKUP(A21,[4]NFZ!$A$7:$D$100,4,FALSE),0)</f>
        <v>4790</v>
      </c>
      <c r="D21" s="7">
        <f>C21</f>
        <v>4790</v>
      </c>
      <c r="E21" s="7" t="str">
        <f t="shared" si="0"/>
        <v>-</v>
      </c>
      <c r="F21" s="41">
        <f t="shared" si="1"/>
        <v>1</v>
      </c>
      <c r="H21" s="88"/>
      <c r="I21" s="88"/>
    </row>
    <row r="22" spans="1:9" ht="50.25" customHeight="1" x14ac:dyDescent="0.4">
      <c r="A22" s="100" t="s">
        <v>93</v>
      </c>
      <c r="B22" s="25" t="s">
        <v>194</v>
      </c>
      <c r="C22" s="7">
        <f>IFERROR(VLOOKUP(A22,[4]NFZ!$A$7:$D$100,4,FALSE),0)</f>
        <v>1412558</v>
      </c>
      <c r="D22" s="7">
        <f>C22</f>
        <v>1412558</v>
      </c>
      <c r="E22" s="7" t="str">
        <f t="shared" si="0"/>
        <v>-</v>
      </c>
      <c r="F22" s="41">
        <f t="shared" si="1"/>
        <v>1</v>
      </c>
      <c r="H22" s="88"/>
      <c r="I22" s="88"/>
    </row>
    <row r="23" spans="1:9" ht="31.5" customHeight="1" x14ac:dyDescent="0.4">
      <c r="A23" s="100" t="s">
        <v>94</v>
      </c>
      <c r="B23" s="26" t="s">
        <v>95</v>
      </c>
      <c r="C23" s="7">
        <f>IFERROR(VLOOKUP(A23,[4]NFZ!$A$7:$D$100,4,FALSE),0)</f>
        <v>1938882</v>
      </c>
      <c r="D23" s="7">
        <f>C23</f>
        <v>1938882</v>
      </c>
      <c r="E23" s="7" t="str">
        <f t="shared" si="0"/>
        <v>-</v>
      </c>
      <c r="F23" s="41">
        <f t="shared" si="1"/>
        <v>1</v>
      </c>
      <c r="H23" s="88"/>
      <c r="I23" s="88"/>
    </row>
    <row r="24" spans="1:9" s="10" customFormat="1" ht="36" customHeight="1" x14ac:dyDescent="0.4">
      <c r="A24" s="102" t="s">
        <v>128</v>
      </c>
      <c r="B24" s="69" t="s">
        <v>189</v>
      </c>
      <c r="C24" s="67">
        <f>C25+C26+C56+C57+C58</f>
        <v>81977433</v>
      </c>
      <c r="D24" s="67">
        <f>D25+D26+D56+D57+D58</f>
        <v>82646840</v>
      </c>
      <c r="E24" s="67">
        <f t="shared" si="0"/>
        <v>669407</v>
      </c>
      <c r="F24" s="68">
        <f t="shared" si="1"/>
        <v>1.0082</v>
      </c>
      <c r="H24" s="88"/>
      <c r="I24" s="88"/>
    </row>
    <row r="25" spans="1:9" s="10" customFormat="1" ht="36" customHeight="1" x14ac:dyDescent="0.4">
      <c r="A25" s="102" t="s">
        <v>96</v>
      </c>
      <c r="B25" s="69" t="s">
        <v>97</v>
      </c>
      <c r="C25" s="67">
        <f>IFERROR(VLOOKUP(A25,[4]NFZ!$A$7:$D$100,4,FALSE),0)</f>
        <v>510512</v>
      </c>
      <c r="D25" s="67">
        <f>C25</f>
        <v>510512</v>
      </c>
      <c r="E25" s="67" t="str">
        <f t="shared" si="0"/>
        <v>-</v>
      </c>
      <c r="F25" s="68">
        <f t="shared" si="1"/>
        <v>1</v>
      </c>
      <c r="H25" s="88"/>
      <c r="I25" s="88"/>
    </row>
    <row r="26" spans="1:9" s="10" customFormat="1" ht="36" customHeight="1" x14ac:dyDescent="0.4">
      <c r="A26" s="102" t="s">
        <v>0</v>
      </c>
      <c r="B26" s="69" t="s">
        <v>200</v>
      </c>
      <c r="C26" s="70">
        <f>C27+C28+C29+C34+C35+C36+C37+C38+C39+C40+C41+C42+C43+C44+C48+C49+C51+C52+C53+C54+C55</f>
        <v>78879949</v>
      </c>
      <c r="D26" s="70">
        <f>D27+D28+D29+D34+D35+D36+D37+D38+D39+D40+D41+D42+D43+D44+D48+D49+D51+D52+D53+D54+D55</f>
        <v>79549356</v>
      </c>
      <c r="E26" s="71">
        <f>IF(C26=D26,"-",D26-C26)</f>
        <v>669407</v>
      </c>
      <c r="F26" s="72">
        <f t="shared" si="1"/>
        <v>1.0085</v>
      </c>
      <c r="H26" s="88"/>
      <c r="I26" s="88"/>
    </row>
    <row r="27" spans="1:9" ht="30" customHeight="1" x14ac:dyDescent="0.4">
      <c r="A27" s="103" t="s">
        <v>1</v>
      </c>
      <c r="B27" s="47" t="s">
        <v>116</v>
      </c>
      <c r="C27" s="7">
        <f>CENTRALA!C7+'Razem OW'!C7</f>
        <v>10557295</v>
      </c>
      <c r="D27" s="7">
        <f>CENTRALA!D7+'Razem OW'!D7</f>
        <v>10557295</v>
      </c>
      <c r="E27" s="7" t="str">
        <f t="shared" si="0"/>
        <v>-</v>
      </c>
      <c r="F27" s="41">
        <f t="shared" si="1"/>
        <v>1</v>
      </c>
      <c r="H27" s="88"/>
      <c r="I27" s="88"/>
    </row>
    <row r="28" spans="1:9" ht="30" customHeight="1" x14ac:dyDescent="0.4">
      <c r="A28" s="103" t="s">
        <v>2</v>
      </c>
      <c r="B28" s="47" t="s">
        <v>117</v>
      </c>
      <c r="C28" s="7">
        <f>CENTRALA!C8+'Razem OW'!C8</f>
        <v>4525818</v>
      </c>
      <c r="D28" s="7">
        <f>CENTRALA!D8+'Razem OW'!D8</f>
        <v>4703627</v>
      </c>
      <c r="E28" s="7">
        <f>IF(C28=D28,"-",D28-C28)</f>
        <v>177809</v>
      </c>
      <c r="F28" s="41">
        <f t="shared" si="1"/>
        <v>1.0392999999999999</v>
      </c>
      <c r="H28" s="88"/>
      <c r="I28" s="88"/>
    </row>
    <row r="29" spans="1:9" ht="30" customHeight="1" x14ac:dyDescent="0.4">
      <c r="A29" s="103" t="s">
        <v>3</v>
      </c>
      <c r="B29" s="47" t="s">
        <v>114</v>
      </c>
      <c r="C29" s="7">
        <f>CENTRALA!C9+'Razem OW'!C9</f>
        <v>40401386</v>
      </c>
      <c r="D29" s="7">
        <f>CENTRALA!D9+'Razem OW'!D9</f>
        <v>41055642</v>
      </c>
      <c r="E29" s="7">
        <f t="shared" si="0"/>
        <v>654256</v>
      </c>
      <c r="F29" s="41">
        <f t="shared" si="1"/>
        <v>1.0162</v>
      </c>
      <c r="H29" s="88"/>
      <c r="I29" s="88"/>
    </row>
    <row r="30" spans="1:9" ht="30" customHeight="1" x14ac:dyDescent="0.4">
      <c r="A30" s="104" t="s">
        <v>54</v>
      </c>
      <c r="B30" s="48" t="s">
        <v>199</v>
      </c>
      <c r="C30" s="7">
        <f>CENTRALA!C10+'Razem OW'!C10</f>
        <v>3657717</v>
      </c>
      <c r="D30" s="7">
        <f>CENTRALA!D10+'Razem OW'!D10</f>
        <v>3657717</v>
      </c>
      <c r="E30" s="7" t="str">
        <f t="shared" si="0"/>
        <v>-</v>
      </c>
      <c r="F30" s="41">
        <f t="shared" si="1"/>
        <v>1</v>
      </c>
      <c r="H30" s="88"/>
      <c r="I30" s="88"/>
    </row>
    <row r="31" spans="1:9" ht="30" customHeight="1" x14ac:dyDescent="0.4">
      <c r="A31" s="104" t="s">
        <v>139</v>
      </c>
      <c r="B31" s="48" t="s">
        <v>142</v>
      </c>
      <c r="C31" s="7">
        <f>CENTRALA!C11+'Razem OW'!C11</f>
        <v>3326562</v>
      </c>
      <c r="D31" s="7">
        <f>CENTRALA!D11+'Razem OW'!D11</f>
        <v>3326562</v>
      </c>
      <c r="E31" s="7" t="str">
        <f t="shared" si="0"/>
        <v>-</v>
      </c>
      <c r="F31" s="41">
        <f t="shared" si="1"/>
        <v>1</v>
      </c>
      <c r="H31" s="88"/>
      <c r="I31" s="88"/>
    </row>
    <row r="32" spans="1:9" ht="30" customHeight="1" x14ac:dyDescent="0.4">
      <c r="A32" s="104" t="s">
        <v>140</v>
      </c>
      <c r="B32" s="48" t="s">
        <v>143</v>
      </c>
      <c r="C32" s="7">
        <f>CENTRALA!C12+'Razem OW'!C12</f>
        <v>1456690</v>
      </c>
      <c r="D32" s="7">
        <f>CENTRALA!D12+'Razem OW'!D12</f>
        <v>1456690</v>
      </c>
      <c r="E32" s="7" t="str">
        <f t="shared" si="0"/>
        <v>-</v>
      </c>
      <c r="F32" s="41">
        <f t="shared" si="1"/>
        <v>1</v>
      </c>
      <c r="H32" s="88"/>
      <c r="I32" s="88"/>
    </row>
    <row r="33" spans="1:9" ht="30" customHeight="1" x14ac:dyDescent="0.4">
      <c r="A33" s="104" t="s">
        <v>141</v>
      </c>
      <c r="B33" s="48" t="s">
        <v>144</v>
      </c>
      <c r="C33" s="7">
        <f>CENTRALA!C13+'Razem OW'!C13</f>
        <v>689133</v>
      </c>
      <c r="D33" s="7">
        <f>CENTRALA!D13+'Razem OW'!D13</f>
        <v>689133</v>
      </c>
      <c r="E33" s="7" t="str">
        <f t="shared" si="0"/>
        <v>-</v>
      </c>
      <c r="F33" s="41">
        <f t="shared" si="1"/>
        <v>1</v>
      </c>
      <c r="H33" s="88"/>
      <c r="I33" s="88"/>
    </row>
    <row r="34" spans="1:9" ht="30" customHeight="1" x14ac:dyDescent="0.4">
      <c r="A34" s="103" t="s">
        <v>4</v>
      </c>
      <c r="B34" s="47" t="s">
        <v>122</v>
      </c>
      <c r="C34" s="7">
        <f>CENTRALA!C14+'Razem OW'!C14</f>
        <v>2909944</v>
      </c>
      <c r="D34" s="7">
        <f>CENTRALA!D14+'Razem OW'!D14</f>
        <v>2912690</v>
      </c>
      <c r="E34" s="7">
        <f t="shared" si="0"/>
        <v>2746</v>
      </c>
      <c r="F34" s="41">
        <f t="shared" si="1"/>
        <v>1.0008999999999999</v>
      </c>
      <c r="H34" s="88"/>
      <c r="I34" s="88"/>
    </row>
    <row r="35" spans="1:9" ht="30" customHeight="1" x14ac:dyDescent="0.4">
      <c r="A35" s="103" t="s">
        <v>5</v>
      </c>
      <c r="B35" s="47" t="s">
        <v>118</v>
      </c>
      <c r="C35" s="7">
        <f>CENTRALA!C15+'Razem OW'!C15</f>
        <v>2401300</v>
      </c>
      <c r="D35" s="7">
        <f>CENTRALA!D15+'Razem OW'!D15</f>
        <v>2402422</v>
      </c>
      <c r="E35" s="7">
        <f t="shared" si="0"/>
        <v>1122</v>
      </c>
      <c r="F35" s="41">
        <f t="shared" si="1"/>
        <v>1.0004999999999999</v>
      </c>
      <c r="H35" s="88"/>
      <c r="I35" s="88"/>
    </row>
    <row r="36" spans="1:9" ht="30" customHeight="1" x14ac:dyDescent="0.4">
      <c r="A36" s="103" t="s">
        <v>6</v>
      </c>
      <c r="B36" s="47" t="s">
        <v>124</v>
      </c>
      <c r="C36" s="7">
        <f>CENTRALA!C16+'Razem OW'!C16</f>
        <v>1576715</v>
      </c>
      <c r="D36" s="7">
        <f>CENTRALA!D16+'Razem OW'!D16</f>
        <v>1578544</v>
      </c>
      <c r="E36" s="7">
        <f t="shared" si="0"/>
        <v>1829</v>
      </c>
      <c r="F36" s="41">
        <f t="shared" si="1"/>
        <v>1.0012000000000001</v>
      </c>
      <c r="H36" s="88"/>
      <c r="I36" s="88"/>
    </row>
    <row r="37" spans="1:9" ht="30" customHeight="1" x14ac:dyDescent="0.4">
      <c r="A37" s="103" t="s">
        <v>7</v>
      </c>
      <c r="B37" s="47" t="s">
        <v>123</v>
      </c>
      <c r="C37" s="7">
        <f>CENTRALA!C17+'Razem OW'!C17</f>
        <v>711703</v>
      </c>
      <c r="D37" s="7">
        <f>CENTRALA!D17+'Razem OW'!D17</f>
        <v>713366</v>
      </c>
      <c r="E37" s="7">
        <f>IF(C37=D37,"-",D37-C37)</f>
        <v>1663</v>
      </c>
      <c r="F37" s="41">
        <f>IF(C37=0,"-",D37/C37)</f>
        <v>1.0023</v>
      </c>
      <c r="H37" s="88"/>
      <c r="I37" s="88"/>
    </row>
    <row r="38" spans="1:9" ht="30" customHeight="1" x14ac:dyDescent="0.4">
      <c r="A38" s="103" t="s">
        <v>8</v>
      </c>
      <c r="B38" s="47" t="s">
        <v>119</v>
      </c>
      <c r="C38" s="7">
        <f>CENTRALA!C18+'Razem OW'!C18</f>
        <v>1881920</v>
      </c>
      <c r="D38" s="7">
        <f>CENTRALA!D18+'Razem OW'!D18</f>
        <v>1881920</v>
      </c>
      <c r="E38" s="7" t="str">
        <f t="shared" si="0"/>
        <v>-</v>
      </c>
      <c r="F38" s="41">
        <f t="shared" si="1"/>
        <v>1</v>
      </c>
      <c r="H38" s="88"/>
      <c r="I38" s="88"/>
    </row>
    <row r="39" spans="1:9" ht="30" customHeight="1" x14ac:dyDescent="0.4">
      <c r="A39" s="103" t="s">
        <v>9</v>
      </c>
      <c r="B39" s="47" t="s">
        <v>120</v>
      </c>
      <c r="C39" s="7">
        <f>CENTRALA!C19+'Razem OW'!C19</f>
        <v>686124</v>
      </c>
      <c r="D39" s="7">
        <f>CENTRALA!D19+'Razem OW'!D19</f>
        <v>686748</v>
      </c>
      <c r="E39" s="7">
        <f t="shared" si="0"/>
        <v>624</v>
      </c>
      <c r="F39" s="41">
        <f t="shared" si="1"/>
        <v>1.0008999999999999</v>
      </c>
      <c r="H39" s="88"/>
      <c r="I39" s="88"/>
    </row>
    <row r="40" spans="1:9" ht="30" customHeight="1" x14ac:dyDescent="0.4">
      <c r="A40" s="103" t="s">
        <v>10</v>
      </c>
      <c r="B40" s="47" t="s">
        <v>125</v>
      </c>
      <c r="C40" s="7">
        <f>CENTRALA!C20+'Razem OW'!C20</f>
        <v>51259</v>
      </c>
      <c r="D40" s="7">
        <f>CENTRALA!D20+'Razem OW'!D20</f>
        <v>51259</v>
      </c>
      <c r="E40" s="7" t="str">
        <f t="shared" si="0"/>
        <v>-</v>
      </c>
      <c r="F40" s="41">
        <f t="shared" si="1"/>
        <v>1</v>
      </c>
      <c r="H40" s="88"/>
      <c r="I40" s="88"/>
    </row>
    <row r="41" spans="1:9" ht="40.5" x14ac:dyDescent="0.4">
      <c r="A41" s="103" t="s">
        <v>11</v>
      </c>
      <c r="B41" s="47" t="s">
        <v>121</v>
      </c>
      <c r="C41" s="7">
        <f>CENTRALA!C21+'Razem OW'!C21</f>
        <v>200116</v>
      </c>
      <c r="D41" s="7">
        <f>CENTRALA!D21+'Razem OW'!D21</f>
        <v>200116</v>
      </c>
      <c r="E41" s="7" t="str">
        <f t="shared" si="0"/>
        <v>-</v>
      </c>
      <c r="F41" s="41">
        <f t="shared" si="1"/>
        <v>1</v>
      </c>
      <c r="H41" s="88"/>
      <c r="I41" s="88"/>
    </row>
    <row r="42" spans="1:9" ht="30" customHeight="1" x14ac:dyDescent="0.4">
      <c r="A42" s="103" t="s">
        <v>12</v>
      </c>
      <c r="B42" s="47" t="s">
        <v>161</v>
      </c>
      <c r="C42" s="7">
        <f>CENTRALA!C22+'Razem OW'!C22</f>
        <v>2035317</v>
      </c>
      <c r="D42" s="7">
        <f>CENTRALA!D22+'Razem OW'!D22</f>
        <v>2056174</v>
      </c>
      <c r="E42" s="7">
        <f t="shared" si="0"/>
        <v>20857</v>
      </c>
      <c r="F42" s="41">
        <f t="shared" si="1"/>
        <v>1.0102</v>
      </c>
      <c r="H42" s="88"/>
      <c r="I42" s="88"/>
    </row>
    <row r="43" spans="1:9" ht="42" customHeight="1" x14ac:dyDescent="0.4">
      <c r="A43" s="103" t="s">
        <v>13</v>
      </c>
      <c r="B43" s="47" t="s">
        <v>145</v>
      </c>
      <c r="C43" s="7">
        <f>CENTRALA!C23+'Razem OW'!C23</f>
        <v>1066269</v>
      </c>
      <c r="D43" s="7">
        <f>CENTRALA!D23+'Razem OW'!D23</f>
        <v>1204769</v>
      </c>
      <c r="E43" s="7">
        <f t="shared" si="0"/>
        <v>138500</v>
      </c>
      <c r="F43" s="41">
        <f t="shared" si="1"/>
        <v>1.1298999999999999</v>
      </c>
      <c r="H43" s="88"/>
      <c r="I43" s="88"/>
    </row>
    <row r="44" spans="1:9" ht="30" customHeight="1" x14ac:dyDescent="0.4">
      <c r="A44" s="105" t="s">
        <v>14</v>
      </c>
      <c r="B44" s="49" t="s">
        <v>177</v>
      </c>
      <c r="C44" s="7">
        <f>CENTRALA!C24+'Razem OW'!C24</f>
        <v>8432076</v>
      </c>
      <c r="D44" s="7">
        <f>CENTRALA!D24+'Razem OW'!D24</f>
        <v>8432076</v>
      </c>
      <c r="E44" s="7" t="str">
        <f t="shared" si="0"/>
        <v>-</v>
      </c>
      <c r="F44" s="41">
        <f t="shared" si="1"/>
        <v>1</v>
      </c>
      <c r="H44" s="88"/>
      <c r="I44" s="88"/>
    </row>
    <row r="45" spans="1:9" ht="41.25" customHeight="1" x14ac:dyDescent="0.4">
      <c r="A45" s="104" t="s">
        <v>126</v>
      </c>
      <c r="B45" s="48" t="s">
        <v>147</v>
      </c>
      <c r="C45" s="7">
        <f>CENTRALA!C25+'Razem OW'!C25</f>
        <v>8396696</v>
      </c>
      <c r="D45" s="7">
        <f>CENTRALA!D25+'Razem OW'!D25</f>
        <v>8396696</v>
      </c>
      <c r="E45" s="7" t="str">
        <f t="shared" si="0"/>
        <v>-</v>
      </c>
      <c r="F45" s="41">
        <f t="shared" si="1"/>
        <v>1</v>
      </c>
      <c r="H45" s="88"/>
      <c r="I45" s="88"/>
    </row>
    <row r="46" spans="1:9" ht="30" customHeight="1" x14ac:dyDescent="0.4">
      <c r="A46" s="104" t="s">
        <v>146</v>
      </c>
      <c r="B46" s="48" t="s">
        <v>149</v>
      </c>
      <c r="C46" s="7">
        <f>CENTRALA!C26+'Razem OW'!C26</f>
        <v>21613</v>
      </c>
      <c r="D46" s="7">
        <f>CENTRALA!D26+'Razem OW'!D26</f>
        <v>21613</v>
      </c>
      <c r="E46" s="7" t="str">
        <f t="shared" si="0"/>
        <v>-</v>
      </c>
      <c r="F46" s="41">
        <f t="shared" si="1"/>
        <v>1</v>
      </c>
      <c r="H46" s="88"/>
      <c r="I46" s="88"/>
    </row>
    <row r="47" spans="1:9" ht="41.25" customHeight="1" x14ac:dyDescent="0.4">
      <c r="A47" s="104" t="s">
        <v>150</v>
      </c>
      <c r="B47" s="48" t="s">
        <v>148</v>
      </c>
      <c r="C47" s="7">
        <f>CENTRALA!C27+'Razem OW'!C27</f>
        <v>13767</v>
      </c>
      <c r="D47" s="7">
        <f>CENTRALA!D27+'Razem OW'!D27</f>
        <v>13767</v>
      </c>
      <c r="E47" s="7" t="str">
        <f t="shared" si="0"/>
        <v>-</v>
      </c>
      <c r="F47" s="41">
        <f t="shared" si="1"/>
        <v>1</v>
      </c>
      <c r="H47" s="88"/>
      <c r="I47" s="88"/>
    </row>
    <row r="48" spans="1:9" ht="31.5" customHeight="1" x14ac:dyDescent="0.4">
      <c r="A48" s="95" t="s">
        <v>15</v>
      </c>
      <c r="B48" s="50" t="s">
        <v>110</v>
      </c>
      <c r="C48" s="7">
        <f>CENTRALA!C28+'Razem OW'!C28</f>
        <v>668390</v>
      </c>
      <c r="D48" s="7">
        <f>CENTRALA!D28+'Razem OW'!D28</f>
        <v>668390</v>
      </c>
      <c r="E48" s="7" t="str">
        <f t="shared" si="0"/>
        <v>-</v>
      </c>
      <c r="F48" s="41">
        <f t="shared" si="1"/>
        <v>1</v>
      </c>
      <c r="H48" s="88"/>
      <c r="I48" s="88"/>
    </row>
    <row r="49" spans="1:9" ht="31.5" customHeight="1" x14ac:dyDescent="0.4">
      <c r="A49" s="95" t="s">
        <v>107</v>
      </c>
      <c r="B49" s="24" t="s">
        <v>151</v>
      </c>
      <c r="C49" s="7">
        <f>CENTRALA!C29+'Razem OW'!C29</f>
        <v>3765</v>
      </c>
      <c r="D49" s="7">
        <f>CENTRALA!D29+'Razem OW'!D29</f>
        <v>3765</v>
      </c>
      <c r="E49" s="7" t="str">
        <f t="shared" si="0"/>
        <v>-</v>
      </c>
      <c r="F49" s="41">
        <f t="shared" si="1"/>
        <v>1</v>
      </c>
      <c r="H49" s="88"/>
      <c r="I49" s="88"/>
    </row>
    <row r="50" spans="1:9" ht="30" customHeight="1" x14ac:dyDescent="0.4">
      <c r="A50" s="104" t="s">
        <v>152</v>
      </c>
      <c r="B50" s="48" t="s">
        <v>163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1" t="str">
        <f t="shared" si="1"/>
        <v>-</v>
      </c>
      <c r="H50" s="88"/>
      <c r="I50" s="88"/>
    </row>
    <row r="51" spans="1:9" ht="30" customHeight="1" x14ac:dyDescent="0.4">
      <c r="A51" s="95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1" t="str">
        <f t="shared" si="1"/>
        <v>-</v>
      </c>
      <c r="H51" s="88"/>
      <c r="I51" s="88"/>
    </row>
    <row r="52" spans="1:9" ht="30" customHeight="1" x14ac:dyDescent="0.4">
      <c r="A52" s="95" t="s">
        <v>109</v>
      </c>
      <c r="B52" s="24" t="s">
        <v>162</v>
      </c>
      <c r="C52" s="7">
        <f>CENTRALA!C32+'Razem OW'!C32</f>
        <v>283921</v>
      </c>
      <c r="D52" s="7">
        <f>CENTRALA!D32+'Razem OW'!D32</f>
        <v>283921</v>
      </c>
      <c r="E52" s="7" t="str">
        <f t="shared" si="0"/>
        <v>-</v>
      </c>
      <c r="F52" s="41">
        <f t="shared" si="1"/>
        <v>1</v>
      </c>
      <c r="H52" s="88"/>
      <c r="I52" s="88"/>
    </row>
    <row r="53" spans="1:9" ht="40.5" x14ac:dyDescent="0.4">
      <c r="A53" s="95" t="s">
        <v>178</v>
      </c>
      <c r="B53" s="24" t="s">
        <v>179</v>
      </c>
      <c r="C53" s="7">
        <f>CENTRALA!C33+'Razem OW'!C33</f>
        <v>404999</v>
      </c>
      <c r="D53" s="7">
        <f>CENTRALA!D33+'Razem OW'!D33</f>
        <v>75000</v>
      </c>
      <c r="E53" s="7">
        <f>IF(C53=D53,"-",D53-C53)</f>
        <v>-329999</v>
      </c>
      <c r="F53" s="41">
        <f>IF(C53=0,"-",D53/C53)</f>
        <v>0.1852</v>
      </c>
      <c r="H53" s="88"/>
      <c r="I53" s="88"/>
    </row>
    <row r="54" spans="1:9" ht="30" customHeight="1" x14ac:dyDescent="0.4">
      <c r="A54" s="95" t="s">
        <v>185</v>
      </c>
      <c r="B54" s="24" t="s">
        <v>186</v>
      </c>
      <c r="C54" s="7">
        <f>CENTRALA!C34+'Razem OW'!C34</f>
        <v>22077</v>
      </c>
      <c r="D54" s="7">
        <f>CENTRALA!D34+'Razem OW'!D34</f>
        <v>22077</v>
      </c>
      <c r="E54" s="7" t="str">
        <f>IF(C54=D54,"-",D54-C54)</f>
        <v>-</v>
      </c>
      <c r="F54" s="41">
        <f>IF(C54=0,"-",D54/C54)</f>
        <v>1</v>
      </c>
      <c r="H54" s="88"/>
      <c r="I54" s="88"/>
    </row>
    <row r="55" spans="1:9" ht="42" customHeight="1" x14ac:dyDescent="0.4">
      <c r="A55" s="95" t="s">
        <v>196</v>
      </c>
      <c r="B55" s="24" t="s">
        <v>197</v>
      </c>
      <c r="C55" s="7">
        <f>CENTRALA!C35+'Razem OW'!C35</f>
        <v>59555</v>
      </c>
      <c r="D55" s="7">
        <f>CENTRALA!D35+'Razem OW'!D35</f>
        <v>59555</v>
      </c>
      <c r="E55" s="7" t="str">
        <f>IF(C55=D55,"-",D55-C55)</f>
        <v>-</v>
      </c>
      <c r="F55" s="41">
        <f>IF(C55=0,"-",D55/C55)</f>
        <v>1</v>
      </c>
      <c r="H55" s="88"/>
      <c r="I55" s="88"/>
    </row>
    <row r="56" spans="1:9" s="10" customFormat="1" ht="30.75" customHeight="1" x14ac:dyDescent="0.4">
      <c r="A56" s="106" t="s">
        <v>56</v>
      </c>
      <c r="B56" s="73" t="s">
        <v>98</v>
      </c>
      <c r="C56" s="74">
        <f>CENTRALA!C36+'Razem OW'!C36</f>
        <v>4790</v>
      </c>
      <c r="D56" s="74">
        <f>C56</f>
        <v>4790</v>
      </c>
      <c r="E56" s="74" t="str">
        <f t="shared" si="0"/>
        <v>-</v>
      </c>
      <c r="F56" s="75">
        <f t="shared" si="1"/>
        <v>1</v>
      </c>
      <c r="H56" s="88"/>
      <c r="I56" s="88"/>
    </row>
    <row r="57" spans="1:9" s="10" customFormat="1" ht="30.75" customHeight="1" x14ac:dyDescent="0.4">
      <c r="A57" s="98" t="s">
        <v>55</v>
      </c>
      <c r="B57" s="73" t="s">
        <v>58</v>
      </c>
      <c r="C57" s="67">
        <f>CENTRALA!C37+'Razem OW'!C37</f>
        <v>1938882</v>
      </c>
      <c r="D57" s="67">
        <f>CENTRALA!D37+'Razem OW'!D37</f>
        <v>1938882</v>
      </c>
      <c r="E57" s="67" t="str">
        <f t="shared" si="0"/>
        <v>-</v>
      </c>
      <c r="F57" s="68">
        <f t="shared" si="1"/>
        <v>1</v>
      </c>
      <c r="H57" s="88"/>
      <c r="I57" s="88"/>
    </row>
    <row r="58" spans="1:9" s="10" customFormat="1" ht="60.75" x14ac:dyDescent="0.4">
      <c r="A58" s="98" t="s">
        <v>187</v>
      </c>
      <c r="B58" s="73" t="s">
        <v>188</v>
      </c>
      <c r="C58" s="67">
        <f>CENTRALA!C38+'Razem OW'!C38</f>
        <v>643300</v>
      </c>
      <c r="D58" s="67">
        <f>CENTRALA!D38+'Razem OW'!D38</f>
        <v>643300</v>
      </c>
      <c r="E58" s="67" t="str">
        <f t="shared" si="0"/>
        <v>-</v>
      </c>
      <c r="F58" s="68">
        <f t="shared" si="1"/>
        <v>1</v>
      </c>
      <c r="H58" s="88"/>
      <c r="I58" s="88"/>
    </row>
    <row r="59" spans="1:9" s="10" customFormat="1" ht="45.75" customHeight="1" x14ac:dyDescent="0.4">
      <c r="A59" s="98" t="s">
        <v>153</v>
      </c>
      <c r="B59" s="73" t="s">
        <v>154</v>
      </c>
      <c r="C59" s="67">
        <f>CENTRALA!C39+'Razem OW'!C39</f>
        <v>12447771</v>
      </c>
      <c r="D59" s="67">
        <f>CENTRALA!D39+'Razem OW'!D39</f>
        <v>12447771</v>
      </c>
      <c r="E59" s="67" t="str">
        <f>IF(C59=D59,"-",D59-C59)</f>
        <v>-</v>
      </c>
      <c r="F59" s="68">
        <f t="shared" si="1"/>
        <v>1</v>
      </c>
      <c r="H59" s="88"/>
      <c r="I59" s="88"/>
    </row>
    <row r="60" spans="1:9" s="10" customFormat="1" ht="33" customHeight="1" x14ac:dyDescent="0.4">
      <c r="A60" s="99" t="s">
        <v>129</v>
      </c>
      <c r="B60" s="66" t="s">
        <v>191</v>
      </c>
      <c r="C60" s="67">
        <f>C19-C24</f>
        <v>727135</v>
      </c>
      <c r="D60" s="67">
        <f>D19-D24</f>
        <v>572008</v>
      </c>
      <c r="E60" s="67">
        <f t="shared" si="0"/>
        <v>-155127</v>
      </c>
      <c r="F60" s="68">
        <f t="shared" si="1"/>
        <v>0.78669999999999995</v>
      </c>
      <c r="H60" s="88"/>
      <c r="I60" s="88"/>
    </row>
    <row r="61" spans="1:9" s="10" customFormat="1" ht="33" customHeight="1" x14ac:dyDescent="0.4">
      <c r="A61" s="99" t="s">
        <v>130</v>
      </c>
      <c r="B61" s="66" t="s">
        <v>180</v>
      </c>
      <c r="C61" s="67">
        <f>C62+C63+C64+C72+C74+C79+C80+C81</f>
        <v>785854</v>
      </c>
      <c r="D61" s="67">
        <f>D62+D63+D64+D72+D74+D79+D80+D81</f>
        <v>785854</v>
      </c>
      <c r="E61" s="67" t="str">
        <f t="shared" si="0"/>
        <v>-</v>
      </c>
      <c r="F61" s="68">
        <f t="shared" si="1"/>
        <v>1</v>
      </c>
      <c r="H61" s="88"/>
      <c r="I61" s="88"/>
    </row>
    <row r="62" spans="1:9" ht="30" customHeight="1" x14ac:dyDescent="0.4">
      <c r="A62" s="95" t="s">
        <v>16</v>
      </c>
      <c r="B62" s="23" t="s">
        <v>17</v>
      </c>
      <c r="C62" s="7">
        <f>CENTRALA!C41+'Razem OW'!C41</f>
        <v>25081</v>
      </c>
      <c r="D62" s="7">
        <f>CENTRALA!D41+'Razem OW'!D41</f>
        <v>25081</v>
      </c>
      <c r="E62" s="7" t="str">
        <f t="shared" si="0"/>
        <v>-</v>
      </c>
      <c r="F62" s="41">
        <f t="shared" si="1"/>
        <v>1</v>
      </c>
      <c r="H62" s="88"/>
      <c r="I62" s="88"/>
    </row>
    <row r="63" spans="1:9" ht="30" customHeight="1" x14ac:dyDescent="0.4">
      <c r="A63" s="95" t="s">
        <v>18</v>
      </c>
      <c r="B63" s="23" t="s">
        <v>19</v>
      </c>
      <c r="C63" s="7">
        <f>CENTRALA!C42+'Razem OW'!C42</f>
        <v>194152</v>
      </c>
      <c r="D63" s="7">
        <f>CENTRALA!D42+'Razem OW'!D42</f>
        <v>194152</v>
      </c>
      <c r="E63" s="7" t="str">
        <f t="shared" si="0"/>
        <v>-</v>
      </c>
      <c r="F63" s="41">
        <f t="shared" si="1"/>
        <v>1</v>
      </c>
      <c r="H63" s="88"/>
      <c r="I63" s="88"/>
    </row>
    <row r="64" spans="1:9" ht="30" customHeight="1" x14ac:dyDescent="0.4">
      <c r="A64" s="95" t="s">
        <v>20</v>
      </c>
      <c r="B64" s="27" t="s">
        <v>181</v>
      </c>
      <c r="C64" s="7">
        <f>C65+C67+C68+C69+C70+C71</f>
        <v>5015</v>
      </c>
      <c r="D64" s="7">
        <f>D65+D67+D68+D69+D70+D71</f>
        <v>5015</v>
      </c>
      <c r="E64" s="7" t="str">
        <f t="shared" si="0"/>
        <v>-</v>
      </c>
      <c r="F64" s="41">
        <f t="shared" si="1"/>
        <v>1</v>
      </c>
      <c r="H64" s="88"/>
      <c r="I64" s="88"/>
    </row>
    <row r="65" spans="1:9" s="8" customFormat="1" ht="30" customHeight="1" x14ac:dyDescent="0.4">
      <c r="A65" s="107" t="s">
        <v>37</v>
      </c>
      <c r="B65" s="51" t="s">
        <v>30</v>
      </c>
      <c r="C65" s="7">
        <f>CENTRALA!C44+'Razem OW'!C44</f>
        <v>685</v>
      </c>
      <c r="D65" s="7">
        <f>CENTRALA!D44+'Razem OW'!D44</f>
        <v>685</v>
      </c>
      <c r="E65" s="7" t="str">
        <f t="shared" si="0"/>
        <v>-</v>
      </c>
      <c r="F65" s="41">
        <f t="shared" si="1"/>
        <v>1</v>
      </c>
      <c r="H65" s="88"/>
      <c r="I65" s="88"/>
    </row>
    <row r="66" spans="1:9" s="8" customFormat="1" ht="30" customHeight="1" x14ac:dyDescent="0.4">
      <c r="A66" s="107" t="s">
        <v>38</v>
      </c>
      <c r="B66" s="52" t="s">
        <v>31</v>
      </c>
      <c r="C66" s="7">
        <f>CENTRALA!C45+'Razem OW'!C45</f>
        <v>682</v>
      </c>
      <c r="D66" s="7">
        <f>CENTRALA!D45+'Razem OW'!D45</f>
        <v>682</v>
      </c>
      <c r="E66" s="7" t="str">
        <f t="shared" si="0"/>
        <v>-</v>
      </c>
      <c r="F66" s="41">
        <f t="shared" si="1"/>
        <v>1</v>
      </c>
      <c r="H66" s="88"/>
      <c r="I66" s="88"/>
    </row>
    <row r="67" spans="1:9" s="8" customFormat="1" ht="30" customHeight="1" x14ac:dyDescent="0.4">
      <c r="A67" s="107" t="s">
        <v>39</v>
      </c>
      <c r="B67" s="51" t="s">
        <v>32</v>
      </c>
      <c r="C67" s="7">
        <f>CENTRALA!C46+'Razem OW'!C46</f>
        <v>708</v>
      </c>
      <c r="D67" s="7">
        <f>CENTRALA!D46+'Razem OW'!D46</f>
        <v>708</v>
      </c>
      <c r="E67" s="7" t="str">
        <f t="shared" si="0"/>
        <v>-</v>
      </c>
      <c r="F67" s="41">
        <f t="shared" si="1"/>
        <v>1</v>
      </c>
      <c r="H67" s="88"/>
      <c r="I67" s="88"/>
    </row>
    <row r="68" spans="1:9" s="8" customFormat="1" ht="30" customHeight="1" x14ac:dyDescent="0.4">
      <c r="A68" s="107" t="s">
        <v>40</v>
      </c>
      <c r="B68" s="51" t="s">
        <v>33</v>
      </c>
      <c r="C68" s="7">
        <f>CENTRALA!C47+'Razem OW'!C47</f>
        <v>19</v>
      </c>
      <c r="D68" s="7">
        <f>CENTRALA!D47+'Razem OW'!D47</f>
        <v>19</v>
      </c>
      <c r="E68" s="7" t="str">
        <f t="shared" si="0"/>
        <v>-</v>
      </c>
      <c r="F68" s="41">
        <f t="shared" si="1"/>
        <v>1</v>
      </c>
      <c r="H68" s="88"/>
      <c r="I68" s="88"/>
    </row>
    <row r="69" spans="1:9" s="8" customFormat="1" ht="30" customHeight="1" x14ac:dyDescent="0.4">
      <c r="A69" s="107" t="s">
        <v>41</v>
      </c>
      <c r="B69" s="51" t="s">
        <v>34</v>
      </c>
      <c r="C69" s="7">
        <f>CENTRALA!C48+'Razem OW'!C48</f>
        <v>0</v>
      </c>
      <c r="D69" s="7">
        <f>CENTRALA!D48+'Razem OW'!D48</f>
        <v>0</v>
      </c>
      <c r="E69" s="7" t="str">
        <f t="shared" si="0"/>
        <v>-</v>
      </c>
      <c r="F69" s="41" t="str">
        <f t="shared" si="1"/>
        <v>-</v>
      </c>
      <c r="H69" s="88"/>
      <c r="I69" s="88"/>
    </row>
    <row r="70" spans="1:9" s="8" customFormat="1" ht="30" customHeight="1" x14ac:dyDescent="0.4">
      <c r="A70" s="107" t="s">
        <v>42</v>
      </c>
      <c r="B70" s="51" t="s">
        <v>35</v>
      </c>
      <c r="C70" s="7">
        <f>CENTRALA!C49+'Razem OW'!C49</f>
        <v>2959</v>
      </c>
      <c r="D70" s="7">
        <f>CENTRALA!D49+'Razem OW'!D49</f>
        <v>2959</v>
      </c>
      <c r="E70" s="7" t="str">
        <f t="shared" si="0"/>
        <v>-</v>
      </c>
      <c r="F70" s="41">
        <f t="shared" si="1"/>
        <v>1</v>
      </c>
      <c r="H70" s="88"/>
      <c r="I70" s="88"/>
    </row>
    <row r="71" spans="1:9" s="9" customFormat="1" ht="30" customHeight="1" x14ac:dyDescent="0.4">
      <c r="A71" s="107" t="s">
        <v>43</v>
      </c>
      <c r="B71" s="51" t="s">
        <v>36</v>
      </c>
      <c r="C71" s="7">
        <f>CENTRALA!C50+'Razem OW'!C50</f>
        <v>644</v>
      </c>
      <c r="D71" s="7">
        <f>CENTRALA!D50+'Razem OW'!D50</f>
        <v>644</v>
      </c>
      <c r="E71" s="7" t="str">
        <f t="shared" si="0"/>
        <v>-</v>
      </c>
      <c r="F71" s="41">
        <f t="shared" si="1"/>
        <v>1</v>
      </c>
      <c r="H71" s="88"/>
      <c r="I71" s="88"/>
    </row>
    <row r="72" spans="1:9" ht="30" customHeight="1" x14ac:dyDescent="0.4">
      <c r="A72" s="95" t="s">
        <v>21</v>
      </c>
      <c r="B72" s="23" t="s">
        <v>155</v>
      </c>
      <c r="C72" s="7">
        <f>CENTRALA!C51+'Razem OW'!C51</f>
        <v>358578</v>
      </c>
      <c r="D72" s="7">
        <f>CENTRALA!D51+'Razem OW'!D51</f>
        <v>358578</v>
      </c>
      <c r="E72" s="7" t="str">
        <f t="shared" si="0"/>
        <v>-</v>
      </c>
      <c r="F72" s="41">
        <f t="shared" si="1"/>
        <v>1</v>
      </c>
      <c r="H72" s="88"/>
      <c r="I72" s="88"/>
    </row>
    <row r="73" spans="1:9" ht="30" customHeight="1" x14ac:dyDescent="0.4">
      <c r="A73" s="107" t="s">
        <v>156</v>
      </c>
      <c r="B73" s="51" t="s">
        <v>157</v>
      </c>
      <c r="C73" s="7">
        <f>CENTRALA!C52+'Razem OW'!C52</f>
        <v>1532</v>
      </c>
      <c r="D73" s="7">
        <f>CENTRALA!D52+'Razem OW'!D52</f>
        <v>1532</v>
      </c>
      <c r="E73" s="7" t="str">
        <f t="shared" si="0"/>
        <v>-</v>
      </c>
      <c r="F73" s="41">
        <f t="shared" si="1"/>
        <v>1</v>
      </c>
      <c r="H73" s="88"/>
      <c r="I73" s="88"/>
    </row>
    <row r="74" spans="1:9" ht="30" customHeight="1" x14ac:dyDescent="0.4">
      <c r="A74" s="95" t="s">
        <v>22</v>
      </c>
      <c r="B74" s="27" t="s">
        <v>182</v>
      </c>
      <c r="C74" s="7">
        <f>SUM(C75:C78)</f>
        <v>81194</v>
      </c>
      <c r="D74" s="7">
        <f>SUM(D75:D78)</f>
        <v>81194</v>
      </c>
      <c r="E74" s="7" t="str">
        <f t="shared" si="0"/>
        <v>-</v>
      </c>
      <c r="F74" s="41">
        <f t="shared" si="1"/>
        <v>1</v>
      </c>
      <c r="H74" s="88"/>
      <c r="I74" s="88"/>
    </row>
    <row r="75" spans="1:9" s="8" customFormat="1" ht="30" customHeight="1" x14ac:dyDescent="0.4">
      <c r="A75" s="107" t="s">
        <v>48</v>
      </c>
      <c r="B75" s="51" t="s">
        <v>44</v>
      </c>
      <c r="C75" s="7">
        <f>CENTRALA!C54+'Razem OW'!C54</f>
        <v>61397</v>
      </c>
      <c r="D75" s="7">
        <f>CENTRALA!D54+'Razem OW'!D54</f>
        <v>61397</v>
      </c>
      <c r="E75" s="7" t="str">
        <f t="shared" si="0"/>
        <v>-</v>
      </c>
      <c r="F75" s="41">
        <f t="shared" si="1"/>
        <v>1</v>
      </c>
      <c r="H75" s="88"/>
      <c r="I75" s="88"/>
    </row>
    <row r="76" spans="1:9" s="8" customFormat="1" ht="30" customHeight="1" x14ac:dyDescent="0.4">
      <c r="A76" s="107" t="s">
        <v>49</v>
      </c>
      <c r="B76" s="51" t="s">
        <v>45</v>
      </c>
      <c r="C76" s="7">
        <f>CENTRALA!C55+'Razem OW'!C55</f>
        <v>8608</v>
      </c>
      <c r="D76" s="7">
        <f>CENTRALA!D55+'Razem OW'!D55</f>
        <v>8608</v>
      </c>
      <c r="E76" s="7" t="str">
        <f t="shared" si="0"/>
        <v>-</v>
      </c>
      <c r="F76" s="41">
        <f t="shared" si="1"/>
        <v>1</v>
      </c>
      <c r="H76" s="88"/>
      <c r="I76" s="88"/>
    </row>
    <row r="77" spans="1:9" s="8" customFormat="1" ht="30" customHeight="1" x14ac:dyDescent="0.4">
      <c r="A77" s="107" t="s">
        <v>50</v>
      </c>
      <c r="B77" s="51" t="s">
        <v>46</v>
      </c>
      <c r="C77" s="7">
        <f>CENTRALA!C56+'Razem OW'!C56</f>
        <v>0</v>
      </c>
      <c r="D77" s="7">
        <f>CENTRALA!D56+'Razem OW'!D56</f>
        <v>0</v>
      </c>
      <c r="E77" s="7" t="str">
        <f t="shared" si="0"/>
        <v>-</v>
      </c>
      <c r="F77" s="41" t="str">
        <f t="shared" si="1"/>
        <v>-</v>
      </c>
      <c r="H77" s="88"/>
      <c r="I77" s="88"/>
    </row>
    <row r="78" spans="1:9" s="8" customFormat="1" ht="30" customHeight="1" x14ac:dyDescent="0.4">
      <c r="A78" s="107" t="s">
        <v>51</v>
      </c>
      <c r="B78" s="51" t="s">
        <v>47</v>
      </c>
      <c r="C78" s="7">
        <f>CENTRALA!C57+'Razem OW'!C57</f>
        <v>11189</v>
      </c>
      <c r="D78" s="7">
        <f>CENTRALA!D57+'Razem OW'!D57</f>
        <v>11189</v>
      </c>
      <c r="E78" s="7" t="str">
        <f t="shared" si="0"/>
        <v>-</v>
      </c>
      <c r="F78" s="41">
        <f t="shared" si="1"/>
        <v>1</v>
      </c>
      <c r="H78" s="88"/>
      <c r="I78" s="88"/>
    </row>
    <row r="79" spans="1:9" ht="30.75" customHeight="1" x14ac:dyDescent="0.4">
      <c r="A79" s="95" t="s">
        <v>23</v>
      </c>
      <c r="B79" s="23" t="s">
        <v>24</v>
      </c>
      <c r="C79" s="7">
        <f>CENTRALA!C58+'Razem OW'!C58</f>
        <v>50</v>
      </c>
      <c r="D79" s="7">
        <f>CENTRALA!D58+'Razem OW'!D58</f>
        <v>50</v>
      </c>
      <c r="E79" s="7" t="str">
        <f t="shared" si="0"/>
        <v>-</v>
      </c>
      <c r="F79" s="41">
        <f t="shared" si="1"/>
        <v>1</v>
      </c>
      <c r="H79" s="88"/>
      <c r="I79" s="88"/>
    </row>
    <row r="80" spans="1:9" ht="30.75" customHeight="1" x14ac:dyDescent="0.4">
      <c r="A80" s="95" t="s">
        <v>25</v>
      </c>
      <c r="B80" s="23" t="s">
        <v>158</v>
      </c>
      <c r="C80" s="7">
        <f>CENTRALA!C59+'Razem OW'!C59</f>
        <v>114861</v>
      </c>
      <c r="D80" s="7">
        <f>CENTRALA!D59+'Razem OW'!D59</f>
        <v>114861</v>
      </c>
      <c r="E80" s="7" t="str">
        <f t="shared" si="0"/>
        <v>-</v>
      </c>
      <c r="F80" s="41">
        <f t="shared" si="1"/>
        <v>1</v>
      </c>
      <c r="H80" s="88"/>
      <c r="I80" s="88"/>
    </row>
    <row r="81" spans="1:9" ht="30.75" customHeight="1" x14ac:dyDescent="0.4">
      <c r="A81" s="95" t="s">
        <v>26</v>
      </c>
      <c r="B81" s="23" t="s">
        <v>27</v>
      </c>
      <c r="C81" s="7">
        <f>CENTRALA!C60+'Razem OW'!C60</f>
        <v>6923</v>
      </c>
      <c r="D81" s="7">
        <f>CENTRALA!D60+'Razem OW'!D60</f>
        <v>6923</v>
      </c>
      <c r="E81" s="7" t="str">
        <f t="shared" si="0"/>
        <v>-</v>
      </c>
      <c r="F81" s="41">
        <f t="shared" si="1"/>
        <v>1</v>
      </c>
      <c r="H81" s="88"/>
      <c r="I81" s="88"/>
    </row>
    <row r="82" spans="1:9" s="10" customFormat="1" ht="33" customHeight="1" x14ac:dyDescent="0.4">
      <c r="A82" s="108" t="s">
        <v>131</v>
      </c>
      <c r="B82" s="77" t="s">
        <v>160</v>
      </c>
      <c r="C82" s="67">
        <f>IFERROR(VLOOKUP(A82,[4]NFZ!$A$7:$D$100,4,FALSE),0)</f>
        <v>344044</v>
      </c>
      <c r="D82" s="67">
        <f>C82+45424</f>
        <v>389468</v>
      </c>
      <c r="E82" s="67">
        <f t="shared" si="0"/>
        <v>45424</v>
      </c>
      <c r="F82" s="68">
        <f t="shared" si="1"/>
        <v>1.1319999999999999</v>
      </c>
      <c r="H82" s="88"/>
      <c r="I82" s="88"/>
    </row>
    <row r="83" spans="1:9" s="10" customFormat="1" ht="33" customHeight="1" x14ac:dyDescent="0.4">
      <c r="A83" s="108" t="s">
        <v>132</v>
      </c>
      <c r="B83" s="77" t="s">
        <v>171</v>
      </c>
      <c r="C83" s="67">
        <f>C84+C85+C86+C87</f>
        <v>256924</v>
      </c>
      <c r="D83" s="67">
        <f>D84+D85+D86+D87</f>
        <v>180045</v>
      </c>
      <c r="E83" s="67">
        <f t="shared" ref="E83:E94" si="2">IF(C83=D83,"-",D83-C83)</f>
        <v>-76879</v>
      </c>
      <c r="F83" s="68">
        <f t="shared" ref="F83:F94" si="3">IF(C83=0,"-",D83/C83)</f>
        <v>0.70079999999999998</v>
      </c>
      <c r="H83" s="88"/>
      <c r="I83" s="88"/>
    </row>
    <row r="84" spans="1:9" ht="47.25" customHeight="1" x14ac:dyDescent="0.4">
      <c r="A84" s="100" t="s">
        <v>99</v>
      </c>
      <c r="B84" s="24" t="s">
        <v>112</v>
      </c>
      <c r="C84" s="7">
        <f>CENTRALA!C62+'Razem OW'!C62</f>
        <v>1282</v>
      </c>
      <c r="D84" s="7">
        <f>CENTRALA!D62+'Razem OW'!D62</f>
        <v>1232</v>
      </c>
      <c r="E84" s="7">
        <f t="shared" si="2"/>
        <v>-50</v>
      </c>
      <c r="F84" s="41">
        <f t="shared" si="3"/>
        <v>0.96099999999999997</v>
      </c>
      <c r="H84" s="88"/>
      <c r="I84" s="88"/>
    </row>
    <row r="85" spans="1:9" ht="33.75" customHeight="1" x14ac:dyDescent="0.4">
      <c r="A85" s="100" t="s">
        <v>28</v>
      </c>
      <c r="B85" s="24" t="s">
        <v>53</v>
      </c>
      <c r="C85" s="7">
        <f>CENTRALA!C63+'Razem OW'!C63</f>
        <v>192338</v>
      </c>
      <c r="D85" s="7">
        <f>CENTRALA!D63+'Razem OW'!D63</f>
        <v>97976</v>
      </c>
      <c r="E85" s="7">
        <f t="shared" si="2"/>
        <v>-94362</v>
      </c>
      <c r="F85" s="41">
        <f t="shared" si="3"/>
        <v>0.50939999999999996</v>
      </c>
      <c r="H85" s="88"/>
      <c r="I85" s="88"/>
    </row>
    <row r="86" spans="1:9" ht="30" customHeight="1" x14ac:dyDescent="0.4">
      <c r="A86" s="100" t="s">
        <v>29</v>
      </c>
      <c r="B86" s="24" t="s">
        <v>101</v>
      </c>
      <c r="C86" s="7">
        <f>CENTRALA!C64+'Razem OW'!C64</f>
        <v>21335</v>
      </c>
      <c r="D86" s="7">
        <f>CENTRALA!D64+'Razem OW'!D64</f>
        <v>0</v>
      </c>
      <c r="E86" s="7">
        <f t="shared" si="2"/>
        <v>-21335</v>
      </c>
      <c r="F86" s="41">
        <f t="shared" si="3"/>
        <v>0</v>
      </c>
      <c r="H86" s="88"/>
      <c r="I86" s="88"/>
    </row>
    <row r="87" spans="1:9" ht="30" customHeight="1" x14ac:dyDescent="0.4">
      <c r="A87" s="100" t="s">
        <v>100</v>
      </c>
      <c r="B87" s="25" t="s">
        <v>102</v>
      </c>
      <c r="C87" s="7">
        <f>CENTRALA!C65+'Razem OW'!C65</f>
        <v>41969</v>
      </c>
      <c r="D87" s="7">
        <f>CENTRALA!D65+'Razem OW'!D65</f>
        <v>80837</v>
      </c>
      <c r="E87" s="7">
        <f t="shared" si="2"/>
        <v>38868</v>
      </c>
      <c r="F87" s="41">
        <f t="shared" si="3"/>
        <v>1.9260999999999999</v>
      </c>
      <c r="H87" s="88"/>
      <c r="I87" s="88"/>
    </row>
    <row r="88" spans="1:9" s="10" customFormat="1" ht="33" customHeight="1" x14ac:dyDescent="0.4">
      <c r="A88" s="108" t="s">
        <v>133</v>
      </c>
      <c r="B88" s="77" t="s">
        <v>172</v>
      </c>
      <c r="C88" s="67">
        <f>C89+C90</f>
        <v>54670</v>
      </c>
      <c r="D88" s="67">
        <f>D89+D90</f>
        <v>62827</v>
      </c>
      <c r="E88" s="67">
        <f t="shared" si="2"/>
        <v>8157</v>
      </c>
      <c r="F88" s="68">
        <f t="shared" si="3"/>
        <v>1.1492</v>
      </c>
      <c r="H88" s="88"/>
      <c r="I88" s="88"/>
    </row>
    <row r="89" spans="1:9" ht="30" customHeight="1" x14ac:dyDescent="0.4">
      <c r="A89" s="100" t="s">
        <v>103</v>
      </c>
      <c r="B89" s="24" t="s">
        <v>104</v>
      </c>
      <c r="C89" s="7">
        <f>IFERROR(VLOOKUP(A89,[4]NFZ!$A$7:$D$100,4,FALSE),0)</f>
        <v>47837</v>
      </c>
      <c r="D89" s="7">
        <f>C89+752</f>
        <v>48589</v>
      </c>
      <c r="E89" s="7">
        <f t="shared" si="2"/>
        <v>752</v>
      </c>
      <c r="F89" s="41">
        <f t="shared" si="3"/>
        <v>1.0157</v>
      </c>
      <c r="H89" s="88"/>
      <c r="I89" s="88"/>
    </row>
    <row r="90" spans="1:9" ht="30" customHeight="1" x14ac:dyDescent="0.4">
      <c r="A90" s="100" t="s">
        <v>105</v>
      </c>
      <c r="B90" s="25" t="s">
        <v>106</v>
      </c>
      <c r="C90" s="7">
        <f>IFERROR(VLOOKUP(A90,[4]NFZ!$A$7:$D$100,4,FALSE),0)</f>
        <v>6833</v>
      </c>
      <c r="D90" s="7">
        <f>C90+7405</f>
        <v>14238</v>
      </c>
      <c r="E90" s="7">
        <f t="shared" si="2"/>
        <v>7405</v>
      </c>
      <c r="F90" s="41">
        <f t="shared" si="3"/>
        <v>2.0836999999999999</v>
      </c>
      <c r="H90" s="88"/>
      <c r="I90" s="88"/>
    </row>
    <row r="91" spans="1:9" s="10" customFormat="1" ht="39.75" customHeight="1" x14ac:dyDescent="0.4">
      <c r="A91" s="108" t="s">
        <v>134</v>
      </c>
      <c r="B91" s="77" t="s">
        <v>113</v>
      </c>
      <c r="C91" s="67">
        <f>CENTRALA!C66+'Razem OW'!C66</f>
        <v>83071</v>
      </c>
      <c r="D91" s="67">
        <f>CENTRALA!D66+'Razem OW'!D66</f>
        <v>58404</v>
      </c>
      <c r="E91" s="67">
        <f t="shared" si="2"/>
        <v>-24667</v>
      </c>
      <c r="F91" s="68">
        <f t="shared" si="3"/>
        <v>0.70309999999999995</v>
      </c>
      <c r="H91" s="88"/>
      <c r="I91" s="88"/>
    </row>
    <row r="92" spans="1:9" s="10" customFormat="1" ht="64.5" customHeight="1" x14ac:dyDescent="0.4">
      <c r="A92" s="109" t="s">
        <v>135</v>
      </c>
      <c r="B92" s="60" t="s">
        <v>190</v>
      </c>
      <c r="C92" s="57">
        <f>C60-C61+C82-C83+C88-C91</f>
        <v>0</v>
      </c>
      <c r="D92" s="57">
        <f>D60-D61+D82-D83+D88-D91</f>
        <v>0</v>
      </c>
      <c r="E92" s="57" t="str">
        <f t="shared" si="2"/>
        <v>-</v>
      </c>
      <c r="F92" s="59" t="str">
        <f t="shared" si="3"/>
        <v>-</v>
      </c>
      <c r="H92" s="88"/>
      <c r="I92" s="88"/>
    </row>
    <row r="93" spans="1:9" s="10" customFormat="1" ht="33" customHeight="1" x14ac:dyDescent="0.4">
      <c r="A93" s="99" t="s">
        <v>136</v>
      </c>
      <c r="B93" s="78" t="s">
        <v>192</v>
      </c>
      <c r="C93" s="79">
        <f>C6+C12+C20+C21+C22+C23+C82+C88-C18</f>
        <v>83257832</v>
      </c>
      <c r="D93" s="79">
        <f>D6+D12+D20+D21+D22+D23+D82+D88-D18</f>
        <v>83827025</v>
      </c>
      <c r="E93" s="79">
        <f t="shared" si="2"/>
        <v>569193</v>
      </c>
      <c r="F93" s="80">
        <f t="shared" si="3"/>
        <v>1.0067999999999999</v>
      </c>
      <c r="H93" s="88"/>
      <c r="I93" s="88"/>
    </row>
    <row r="94" spans="1:9" s="10" customFormat="1" ht="33" customHeight="1" x14ac:dyDescent="0.4">
      <c r="A94" s="108" t="s">
        <v>137</v>
      </c>
      <c r="B94" s="81" t="s">
        <v>193</v>
      </c>
      <c r="C94" s="79">
        <f>C9+C15+C25+C26+C56+C57+C58+C61+C83+C91</f>
        <v>83257832</v>
      </c>
      <c r="D94" s="79">
        <f>D9+D15+D25+D26+D56+D57+D58+D61+D83+D91</f>
        <v>83827025</v>
      </c>
      <c r="E94" s="79">
        <f t="shared" si="2"/>
        <v>569193</v>
      </c>
      <c r="F94" s="80">
        <f t="shared" si="3"/>
        <v>1.0067999999999999</v>
      </c>
      <c r="H94" s="88"/>
      <c r="I94" s="88"/>
    </row>
    <row r="95" spans="1:9" ht="26.25" x14ac:dyDescent="0.2">
      <c r="C95" s="11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3" fitToHeight="2" orientation="portrait" r:id="rId1"/>
  <headerFooter alignWithMargins="0">
    <oddFooter>&amp;R&amp;20&amp;P</oddFooter>
  </headerFooter>
  <rowBreaks count="1" manualBreakCount="1">
    <brk id="6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6"/>
  <sheetViews>
    <sheetView showGridLines="0" view="pageBreakPreview" zoomScale="55" zoomScaleNormal="55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65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11429851</v>
      </c>
      <c r="D6" s="82">
        <f>D7+D8+D9+D14+D15+D16+D17+D18+D19+D20+D21+D22+D23+D24+D28+D29+D31+D32+D33+D34+D35</f>
        <v>11575814</v>
      </c>
      <c r="E6" s="67">
        <f>IF(C6=D6,"-",D6-C6)</f>
        <v>145963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IFERROR(VLOOKUP(A7,[4]Mazowiecki!$A$7:$D$100,4,FALSE),0)</f>
        <v>1560000</v>
      </c>
      <c r="D7" s="13">
        <f>C7</f>
        <v>1560000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IFERROR(VLOOKUP(A8,[4]Mazowiecki!$A$7:$D$100,4,FALSE),0)</f>
        <v>630755</v>
      </c>
      <c r="D8" s="13">
        <f>C8+13874+8112</f>
        <v>652741</v>
      </c>
      <c r="E8" s="37">
        <f t="shared" si="0"/>
        <v>21986</v>
      </c>
      <c r="F8" s="38">
        <f t="shared" si="1"/>
        <v>1.0348999999999999</v>
      </c>
    </row>
    <row r="9" spans="1:6" ht="33" customHeight="1" x14ac:dyDescent="0.2">
      <c r="A9" s="91" t="s">
        <v>3</v>
      </c>
      <c r="B9" s="14" t="s">
        <v>114</v>
      </c>
      <c r="C9" s="30">
        <f>IFERROR(VLOOKUP(A9,[4]Mazowiecki!$A$7:$D$100,4,FALSE),0)</f>
        <v>6162240</v>
      </c>
      <c r="D9" s="13">
        <f>C9+26290+77098</f>
        <v>6265628</v>
      </c>
      <c r="E9" s="37">
        <f t="shared" si="0"/>
        <v>103388</v>
      </c>
      <c r="F9" s="38">
        <f t="shared" si="1"/>
        <v>1.0167999999999999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IFERROR(VLOOKUP(A10,[4]Mazowiecki!$A$7:$D$100,4,FALSE),0)</f>
        <v>543168</v>
      </c>
      <c r="D10" s="13">
        <f t="shared" ref="D10:D34" si="2">C10</f>
        <v>543168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IFERROR(VLOOKUP(A11,[4]Mazowiecki!$A$7:$D$100,4,FALSE),0)</f>
        <v>490428</v>
      </c>
      <c r="D11" s="13">
        <f t="shared" si="2"/>
        <v>490428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IFERROR(VLOOKUP(A12,[4]Mazowiecki!$A$7:$D$100,4,FALSE),0)</f>
        <v>220444</v>
      </c>
      <c r="D12" s="13">
        <f t="shared" si="2"/>
        <v>220444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IFERROR(VLOOKUP(A13,[4]Mazowiecki!$A$7:$D$100,4,FALSE),0)</f>
        <v>104669</v>
      </c>
      <c r="D13" s="13">
        <f t="shared" si="2"/>
        <v>104669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IFERROR(VLOOKUP(A14,[4]Mazowiecki!$A$7:$D$100,4,FALSE),0)</f>
        <v>424054</v>
      </c>
      <c r="D14" s="13">
        <f t="shared" si="2"/>
        <v>424054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IFERROR(VLOOKUP(A15,[4]Mazowiecki!$A$7:$D$100,4,FALSE),0)</f>
        <v>445075</v>
      </c>
      <c r="D15" s="13">
        <f t="shared" si="2"/>
        <v>445075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IFERROR(VLOOKUP(A16,[4]Mazowiecki!$A$7:$D$100,4,FALSE),0)</f>
        <v>213649</v>
      </c>
      <c r="D16" s="13">
        <f t="shared" si="2"/>
        <v>213649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IFERROR(VLOOKUP(A17,[4]Mazowiecki!$A$7:$D$100,4,FALSE),0)</f>
        <v>87771</v>
      </c>
      <c r="D17" s="13">
        <f t="shared" si="2"/>
        <v>87771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IFERROR(VLOOKUP(A18,[4]Mazowiecki!$A$7:$D$100,4,FALSE),0)</f>
        <v>223614</v>
      </c>
      <c r="D18" s="13">
        <f t="shared" si="2"/>
        <v>223614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IFERROR(VLOOKUP(A19,[4]Mazowiecki!$A$7:$D$100,4,FALSE),0)</f>
        <v>102936</v>
      </c>
      <c r="D19" s="13">
        <f t="shared" si="2"/>
        <v>102936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IFERROR(VLOOKUP(A20,[4]Mazowiecki!$A$7:$D$100,4,FALSE),0)</f>
        <v>8598</v>
      </c>
      <c r="D20" s="13">
        <f t="shared" si="2"/>
        <v>8598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IFERROR(VLOOKUP(A21,[4]Mazowiecki!$A$7:$D$100,4,FALSE),0)</f>
        <v>25496</v>
      </c>
      <c r="D21" s="13">
        <f t="shared" si="2"/>
        <v>25496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IFERROR(VLOOKUP(A22,[4]Mazowiecki!$A$7:$D$100,4,FALSE),0)</f>
        <v>193501</v>
      </c>
      <c r="D22" s="13">
        <f t="shared" si="2"/>
        <v>193501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IFERROR(VLOOKUP(A23,[4]Mazowiecki!$A$7:$D$100,4,FALSE),0)</f>
        <v>160000</v>
      </c>
      <c r="D23" s="13">
        <f>C23+20589</f>
        <v>180589</v>
      </c>
      <c r="E23" s="37">
        <f t="shared" si="0"/>
        <v>20589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IFERROR(VLOOKUP(A24,[4]Mazowiecki!$A$7:$D$100,4,FALSE),0)</f>
        <v>1147984</v>
      </c>
      <c r="D24" s="13">
        <f t="shared" si="2"/>
        <v>1147984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IFERROR(VLOOKUP(A25,[4]Mazowiecki!$A$7:$D$100,4,FALSE),0)</f>
        <v>1140378</v>
      </c>
      <c r="D25" s="13">
        <f t="shared" si="2"/>
        <v>1140378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IFERROR(VLOOKUP(A26,[4]Mazowiecki!$A$7:$D$100,4,FALSE),0)</f>
        <v>3058</v>
      </c>
      <c r="D26" s="13">
        <f t="shared" si="2"/>
        <v>3058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IFERROR(VLOOKUP(A27,[4]Mazowiecki!$A$7:$D$100,4,FALSE),0)</f>
        <v>4548</v>
      </c>
      <c r="D27" s="13">
        <f t="shared" si="2"/>
        <v>4548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IFERROR(VLOOKUP(A28,[4]Mazowiecki!$A$7:$D$100,4,FALSE),0)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IFERROR(VLOOKUP(A29,[4]Mazowiecki!$A$7:$D$100,4,FALSE),0)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IFERROR(VLOOKUP(A30,[4]Mazowiecki!$A$7:$D$100,4,FALSE),0)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IFERROR(VLOOKUP(A31,[4]Mazowiecki!$A$7:$D$100,4,FALSE),0)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IFERROR(VLOOKUP(A32,[4]Mazowiecki!$A$7:$D$100,4,FALSE),0)</f>
        <v>26466</v>
      </c>
      <c r="D32" s="13">
        <f t="shared" si="2"/>
        <v>26466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IFERROR(VLOOKUP(A33,[4]Mazowiecki!$A$7:$D$100,4,FALSE),0)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IFERROR(VLOOKUP(A34,[4]Mazowiecki!$A$7:$D$100,4,FALSE),0)</f>
        <v>1992</v>
      </c>
      <c r="D34" s="13">
        <f t="shared" si="2"/>
        <v>1992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IFERROR(VLOOKUP(A35,[4]Mazowiecki!$A$7:$D$100,4,FALSE),0)</f>
        <v>15720</v>
      </c>
      <c r="D35" s="13">
        <f>C35</f>
        <v>15720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IFERROR(VLOOKUP(A36,[4]Mazowiecki!$A$7:$D$100,4,FALSE),0)</f>
        <v>1224</v>
      </c>
      <c r="D36" s="36">
        <f>C36</f>
        <v>1224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IFERROR(VLOOKUP(A37,[4]Mazowiecki!$A$7:$D$100,4,FALSE),0)</f>
        <v>244082</v>
      </c>
      <c r="D37" s="36">
        <f>C37</f>
        <v>244082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IFERROR(VLOOKUP(A38,[4]Mazowiecki!$A$7:$D$100,4,FALSE),0)</f>
        <v>96569</v>
      </c>
      <c r="D38" s="36">
        <f>C38</f>
        <v>96569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1743081</v>
      </c>
      <c r="D39" s="31">
        <f>D11+D13+D24+D30</f>
        <v>1743081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71892</v>
      </c>
      <c r="D40" s="70">
        <f>D41+D42+D43+D51+D53+D59+D60+D58</f>
        <v>71892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IFERROR(VLOOKUP(A41,[4]Mazowiecki!$A$7:$D$100,4,FALSE),0)</f>
        <v>2073</v>
      </c>
      <c r="D41" s="32">
        <f>C41</f>
        <v>2073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IFERROR(VLOOKUP(A42,[4]Mazowiecki!$A$7:$D$100,4,FALSE),0)</f>
        <v>12436</v>
      </c>
      <c r="D42" s="32">
        <f t="shared" ref="D42:D60" si="3">C42</f>
        <v>12436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238</v>
      </c>
      <c r="D43" s="32">
        <f>D44+D46+D47+D48+D49+D50</f>
        <v>238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IFERROR(VLOOKUP(A44,[4]Mazowiecki!$A$7:$D$100,4,FALSE),0)</f>
        <v>20</v>
      </c>
      <c r="D44" s="32">
        <f t="shared" si="3"/>
        <v>20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IFERROR(VLOOKUP(A45,[4]Mazowiecki!$A$7:$D$100,4,FALSE),0)</f>
        <v>20</v>
      </c>
      <c r="D45" s="32">
        <f t="shared" si="3"/>
        <v>20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IFERROR(VLOOKUP(A46,[4]Mazowiecki!$A$7:$D$100,4,FALSE),0)</f>
        <v>12</v>
      </c>
      <c r="D46" s="32">
        <f t="shared" si="3"/>
        <v>12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IFERROR(VLOOKUP(A47,[4]Mazowiecki!$A$7:$D$100,4,FALSE),0)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IFERROR(VLOOKUP(A48,[4]Mazowiecki!$A$7:$D$100,4,FALSE),0)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IFERROR(VLOOKUP(A49,[4]Mazowiecki!$A$7:$D$100,4,FALSE),0)</f>
        <v>203</v>
      </c>
      <c r="D49" s="32">
        <f t="shared" si="3"/>
        <v>203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IFERROR(VLOOKUP(A50,[4]Mazowiecki!$A$7:$D$100,4,FALSE),0)</f>
        <v>3</v>
      </c>
      <c r="D50" s="32">
        <f t="shared" si="3"/>
        <v>3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IFERROR(VLOOKUP(A51,[4]Mazowiecki!$A$7:$D$100,4,FALSE),0)</f>
        <v>44283</v>
      </c>
      <c r="D51" s="32">
        <f t="shared" si="3"/>
        <v>44283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IFERROR(VLOOKUP(A52,[4]Mazowiecki!$A$7:$D$100,4,FALSE),0)</f>
        <v>71</v>
      </c>
      <c r="D52" s="32">
        <f t="shared" si="3"/>
        <v>71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9919</v>
      </c>
      <c r="D53" s="28">
        <f>D54+D55+D56+D57</f>
        <v>9919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IFERROR(VLOOKUP(A54,[4]Mazowiecki!$A$7:$D$100,4,FALSE),0)</f>
        <v>7604</v>
      </c>
      <c r="D54" s="32">
        <f t="shared" si="3"/>
        <v>7604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IFERROR(VLOOKUP(A55,[4]Mazowiecki!$A$7:$D$100,4,FALSE),0)</f>
        <v>1085</v>
      </c>
      <c r="D55" s="32">
        <f t="shared" si="3"/>
        <v>1085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IFERROR(VLOOKUP(A56,[4]Mazowiecki!$A$7:$D$100,4,FALSE),0)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IFERROR(VLOOKUP(A57,[4]Mazowiecki!$A$7:$D$100,4,FALSE),0)</f>
        <v>1230</v>
      </c>
      <c r="D57" s="32">
        <f t="shared" si="3"/>
        <v>1230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IFERROR(VLOOKUP(A58,[4]Mazowiecki!$A$7:$D$100,4,FALSE),0)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IFERROR(VLOOKUP(A59,[4]Mazowiecki!$A$7:$D$100,4,FALSE),0)</f>
        <v>2539</v>
      </c>
      <c r="D59" s="32">
        <f t="shared" si="3"/>
        <v>2539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IFERROR(VLOOKUP(A60,[4]Mazowiecki!$A$7:$D$100,4,FALSE),0)</f>
        <v>404</v>
      </c>
      <c r="D60" s="32">
        <f t="shared" si="3"/>
        <v>404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21751</v>
      </c>
      <c r="D61" s="86">
        <f>D62+D63+D64+D65</f>
        <v>10950</v>
      </c>
      <c r="E61" s="67">
        <f t="shared" si="0"/>
        <v>-10801</v>
      </c>
      <c r="F61" s="87">
        <f t="shared" si="1"/>
        <v>0.50339999999999996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IFERROR(VLOOKUP(A62,[4]Mazowiecki!$A$7:$D$100,4,FALSE),0)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IFERROR(VLOOKUP(A63,[4]Mazowiecki!$A$7:$D$100,4,FALSE),0)</f>
        <v>13828</v>
      </c>
      <c r="D63" s="32">
        <f>C63-6778</f>
        <v>7050</v>
      </c>
      <c r="E63" s="28">
        <f t="shared" si="0"/>
        <v>-6778</v>
      </c>
      <c r="F63" s="38">
        <f t="shared" si="1"/>
        <v>0.50980000000000003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IFERROR(VLOOKUP(A64,[4]Mazowiecki!$A$7:$D$100,4,FALSE),0)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IFERROR(VLOOKUP(A65,[4]Mazowiecki!$A$7:$D$100,4,FALSE),0)</f>
        <v>7923</v>
      </c>
      <c r="D65" s="32">
        <f>C65-4023</f>
        <v>3900</v>
      </c>
      <c r="E65" s="28">
        <f t="shared" si="0"/>
        <v>-4023</v>
      </c>
      <c r="F65" s="38">
        <f t="shared" si="1"/>
        <v>0.49220000000000003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IFERROR(VLOOKUP(A66,[4]Mazowiecki!$A$7:$D$100,4,FALSE),0)</f>
        <v>9640</v>
      </c>
      <c r="D66" s="86">
        <f>C66-4240</f>
        <v>5400</v>
      </c>
      <c r="E66" s="67">
        <f t="shared" si="0"/>
        <v>-4240</v>
      </c>
      <c r="F66" s="87">
        <f t="shared" si="1"/>
        <v>0.56020000000000003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66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1870393</v>
      </c>
      <c r="D6" s="82">
        <f>D7+D8+D9+D14+D15+D16+D17+D18+D19+D20+D21+D22+D23+D24+D28+D29+D31+D32+D33+D34+D35</f>
        <v>1894512</v>
      </c>
      <c r="E6" s="67">
        <f>IF(C6=D6,"-",D6-C6)</f>
        <v>24119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IFERROR(VLOOKUP(A7,[4]Opolski!$A$7:$D$100,4,FALSE),0)</f>
        <v>256693</v>
      </c>
      <c r="D7" s="13">
        <f>C7</f>
        <v>256693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IFERROR(VLOOKUP(A8,[4]Opolski!$A$7:$D$100,4,FALSE),0)</f>
        <v>93676</v>
      </c>
      <c r="D8" s="13">
        <f>C8+2293+3000</f>
        <v>98969</v>
      </c>
      <c r="E8" s="37">
        <f t="shared" si="0"/>
        <v>5293</v>
      </c>
      <c r="F8" s="38">
        <f t="shared" si="1"/>
        <v>1.0565</v>
      </c>
    </row>
    <row r="9" spans="1:6" ht="33" customHeight="1" x14ac:dyDescent="0.2">
      <c r="A9" s="91" t="s">
        <v>3</v>
      </c>
      <c r="B9" s="14" t="s">
        <v>114</v>
      </c>
      <c r="C9" s="30">
        <f>IFERROR(VLOOKUP(A9,[4]Opolski!$A$7:$D$100,4,FALSE),0)</f>
        <v>975137</v>
      </c>
      <c r="D9" s="13">
        <f>C9+4344+4879</f>
        <v>984360</v>
      </c>
      <c r="E9" s="37">
        <f t="shared" si="0"/>
        <v>9223</v>
      </c>
      <c r="F9" s="38">
        <f t="shared" si="1"/>
        <v>1.0095000000000001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IFERROR(VLOOKUP(A10,[4]Opolski!$A$7:$D$100,4,FALSE),0)</f>
        <v>84320</v>
      </c>
      <c r="D10" s="13">
        <f t="shared" ref="D10:D34" si="2">C10</f>
        <v>84320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IFERROR(VLOOKUP(A11,[4]Opolski!$A$7:$D$100,4,FALSE),0)</f>
        <v>78268</v>
      </c>
      <c r="D11" s="13">
        <f t="shared" si="2"/>
        <v>78268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IFERROR(VLOOKUP(A12,[4]Opolski!$A$7:$D$100,4,FALSE),0)</f>
        <v>33958</v>
      </c>
      <c r="D12" s="13">
        <f t="shared" si="2"/>
        <v>33958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IFERROR(VLOOKUP(A13,[4]Opolski!$A$7:$D$100,4,FALSE),0)</f>
        <v>14948</v>
      </c>
      <c r="D13" s="13">
        <f t="shared" si="2"/>
        <v>14948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IFERROR(VLOOKUP(A14,[4]Opolski!$A$7:$D$100,4,FALSE),0)</f>
        <v>68759</v>
      </c>
      <c r="D14" s="13">
        <f>C14+1000</f>
        <v>69759</v>
      </c>
      <c r="E14" s="37">
        <f t="shared" si="0"/>
        <v>1000</v>
      </c>
      <c r="F14" s="38">
        <f t="shared" si="1"/>
        <v>1.0145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IFERROR(VLOOKUP(A15,[4]Opolski!$A$7:$D$100,4,FALSE),0)</f>
        <v>54380</v>
      </c>
      <c r="D15" s="13">
        <f t="shared" si="2"/>
        <v>54380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IFERROR(VLOOKUP(A16,[4]Opolski!$A$7:$D$100,4,FALSE),0)</f>
        <v>57413</v>
      </c>
      <c r="D16" s="13">
        <f t="shared" si="2"/>
        <v>57413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IFERROR(VLOOKUP(A17,[4]Opolski!$A$7:$D$100,4,FALSE),0)</f>
        <v>19884</v>
      </c>
      <c r="D17" s="13">
        <f t="shared" si="2"/>
        <v>19884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IFERROR(VLOOKUP(A18,[4]Opolski!$A$7:$D$100,4,FALSE),0)</f>
        <v>42843</v>
      </c>
      <c r="D18" s="13">
        <f t="shared" si="2"/>
        <v>42843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IFERROR(VLOOKUP(A19,[4]Opolski!$A$7:$D$100,4,FALSE),0)</f>
        <v>13000</v>
      </c>
      <c r="D19" s="13">
        <f t="shared" si="2"/>
        <v>13000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IFERROR(VLOOKUP(A20,[4]Opolski!$A$7:$D$100,4,FALSE),0)</f>
        <v>1329</v>
      </c>
      <c r="D20" s="13">
        <f t="shared" si="2"/>
        <v>1329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IFERROR(VLOOKUP(A21,[4]Opolski!$A$7:$D$100,4,FALSE),0)</f>
        <v>3869</v>
      </c>
      <c r="D21" s="13">
        <f t="shared" si="2"/>
        <v>3869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IFERROR(VLOOKUP(A22,[4]Opolski!$A$7:$D$100,4,FALSE),0)</f>
        <v>47603</v>
      </c>
      <c r="D22" s="13">
        <f>C22+5000</f>
        <v>52603</v>
      </c>
      <c r="E22" s="37">
        <f t="shared" si="0"/>
        <v>5000</v>
      </c>
      <c r="F22" s="38">
        <f t="shared" si="1"/>
        <v>1.105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IFERROR(VLOOKUP(A23,[4]Opolski!$A$7:$D$100,4,FALSE),0)</f>
        <v>27997</v>
      </c>
      <c r="D23" s="13">
        <f>C23+3603</f>
        <v>31600</v>
      </c>
      <c r="E23" s="37">
        <f t="shared" si="0"/>
        <v>3603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IFERROR(VLOOKUP(A24,[4]Opolski!$A$7:$D$100,4,FALSE),0)</f>
        <v>193080</v>
      </c>
      <c r="D24" s="13">
        <f t="shared" si="2"/>
        <v>193080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IFERROR(VLOOKUP(A25,[4]Opolski!$A$7:$D$100,4,FALSE),0)</f>
        <v>192210</v>
      </c>
      <c r="D25" s="13">
        <f t="shared" si="2"/>
        <v>192210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IFERROR(VLOOKUP(A26,[4]Opolski!$A$7:$D$100,4,FALSE),0)</f>
        <v>650</v>
      </c>
      <c r="D26" s="13">
        <f t="shared" si="2"/>
        <v>650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IFERROR(VLOOKUP(A27,[4]Opolski!$A$7:$D$100,4,FALSE),0)</f>
        <v>220</v>
      </c>
      <c r="D27" s="13">
        <f t="shared" si="2"/>
        <v>220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IFERROR(VLOOKUP(A28,[4]Opolski!$A$7:$D$100,4,FALSE),0)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IFERROR(VLOOKUP(A29,[4]Opolski!$A$7:$D$100,4,FALSE),0)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IFERROR(VLOOKUP(A30,[4]Opolski!$A$7:$D$100,4,FALSE),0)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IFERROR(VLOOKUP(A31,[4]Opolski!$A$7:$D$100,4,FALSE),0)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IFERROR(VLOOKUP(A32,[4]Opolski!$A$7:$D$100,4,FALSE),0)</f>
        <v>13152</v>
      </c>
      <c r="D32" s="13">
        <f t="shared" si="2"/>
        <v>13152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IFERROR(VLOOKUP(A33,[4]Opolski!$A$7:$D$100,4,FALSE),0)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IFERROR(VLOOKUP(A34,[4]Opolski!$A$7:$D$100,4,FALSE),0)</f>
        <v>498</v>
      </c>
      <c r="D34" s="13">
        <f t="shared" si="2"/>
        <v>498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IFERROR(VLOOKUP(A35,[4]Opolski!$A$7:$D$100,4,FALSE),0)</f>
        <v>1080</v>
      </c>
      <c r="D35" s="13">
        <f>C35</f>
        <v>1080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IFERROR(VLOOKUP(A36,[4]Opolski!$A$7:$D$100,4,FALSE),0)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IFERROR(VLOOKUP(A37,[4]Opolski!$A$7:$D$100,4,FALSE),0)</f>
        <v>55216</v>
      </c>
      <c r="D37" s="36">
        <f>C37</f>
        <v>55216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IFERROR(VLOOKUP(A38,[4]Opolski!$A$7:$D$100,4,FALSE),0)</f>
        <v>17354</v>
      </c>
      <c r="D38" s="36">
        <f>C38</f>
        <v>17354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286296</v>
      </c>
      <c r="D39" s="31">
        <f>D11+D13+D24+D30</f>
        <v>286296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17030</v>
      </c>
      <c r="D40" s="70">
        <f>D41+D42+D43+D51+D53+D59+D60+D58</f>
        <v>17030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IFERROR(VLOOKUP(A41,[4]Opolski!$A$7:$D$100,4,FALSE),0)</f>
        <v>845</v>
      </c>
      <c r="D41" s="32">
        <f>C41</f>
        <v>845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IFERROR(VLOOKUP(A42,[4]Opolski!$A$7:$D$100,4,FALSE),0)</f>
        <v>2465</v>
      </c>
      <c r="D42" s="32">
        <f t="shared" ref="D42:D60" si="3">C42</f>
        <v>2465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169</v>
      </c>
      <c r="D43" s="32">
        <f>D44+D46+D47+D48+D49+D50</f>
        <v>169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IFERROR(VLOOKUP(A44,[4]Opolski!$A$7:$D$100,4,FALSE),0)</f>
        <v>0</v>
      </c>
      <c r="D44" s="32">
        <f t="shared" si="3"/>
        <v>0</v>
      </c>
      <c r="E44" s="37" t="str">
        <f t="shared" si="0"/>
        <v>-</v>
      </c>
      <c r="F44" s="38" t="str">
        <f t="shared" si="1"/>
        <v>-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IFERROR(VLOOKUP(A45,[4]Opolski!$A$7:$D$100,4,FALSE),0)</f>
        <v>0</v>
      </c>
      <c r="D45" s="32">
        <f t="shared" si="3"/>
        <v>0</v>
      </c>
      <c r="E45" s="37" t="str">
        <f t="shared" si="0"/>
        <v>-</v>
      </c>
      <c r="F45" s="38" t="str">
        <f t="shared" si="1"/>
        <v>-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IFERROR(VLOOKUP(A46,[4]Opolski!$A$7:$D$100,4,FALSE),0)</f>
        <v>8</v>
      </c>
      <c r="D46" s="32">
        <f t="shared" si="3"/>
        <v>8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IFERROR(VLOOKUP(A47,[4]Opolski!$A$7:$D$100,4,FALSE),0)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IFERROR(VLOOKUP(A48,[4]Opolski!$A$7:$D$100,4,FALSE),0)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IFERROR(VLOOKUP(A49,[4]Opolski!$A$7:$D$100,4,FALSE),0)</f>
        <v>155</v>
      </c>
      <c r="D49" s="32">
        <f t="shared" si="3"/>
        <v>155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IFERROR(VLOOKUP(A50,[4]Opolski!$A$7:$D$100,4,FALSE),0)</f>
        <v>6</v>
      </c>
      <c r="D50" s="32">
        <f t="shared" si="3"/>
        <v>6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IFERROR(VLOOKUP(A51,[4]Opolski!$A$7:$D$100,4,FALSE),0)</f>
        <v>9702</v>
      </c>
      <c r="D51" s="32">
        <f t="shared" si="3"/>
        <v>9702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IFERROR(VLOOKUP(A52,[4]Opolski!$A$7:$D$100,4,FALSE),0)</f>
        <v>31</v>
      </c>
      <c r="D52" s="32">
        <f t="shared" si="3"/>
        <v>31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2172</v>
      </c>
      <c r="D53" s="28">
        <f>D54+D55+D56+D57</f>
        <v>2172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IFERROR(VLOOKUP(A54,[4]Opolski!$A$7:$D$100,4,FALSE),0)</f>
        <v>1665</v>
      </c>
      <c r="D54" s="32">
        <f t="shared" si="3"/>
        <v>1665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IFERROR(VLOOKUP(A55,[4]Opolski!$A$7:$D$100,4,FALSE),0)</f>
        <v>238</v>
      </c>
      <c r="D55" s="32">
        <f t="shared" si="3"/>
        <v>238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IFERROR(VLOOKUP(A56,[4]Opolski!$A$7:$D$100,4,FALSE),0)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IFERROR(VLOOKUP(A57,[4]Opolski!$A$7:$D$100,4,FALSE),0)</f>
        <v>269</v>
      </c>
      <c r="D57" s="32">
        <f t="shared" si="3"/>
        <v>269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IFERROR(VLOOKUP(A58,[4]Opolski!$A$7:$D$100,4,FALSE),0)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IFERROR(VLOOKUP(A59,[4]Opolski!$A$7:$D$100,4,FALSE),0)</f>
        <v>1488</v>
      </c>
      <c r="D59" s="32">
        <f t="shared" si="3"/>
        <v>1488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IFERROR(VLOOKUP(A60,[4]Opolski!$A$7:$D$100,4,FALSE),0)</f>
        <v>189</v>
      </c>
      <c r="D60" s="32">
        <f t="shared" si="3"/>
        <v>189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8200</v>
      </c>
      <c r="D61" s="86">
        <f>D62+D63+D64+D65</f>
        <v>951</v>
      </c>
      <c r="E61" s="67">
        <f t="shared" si="0"/>
        <v>-7249</v>
      </c>
      <c r="F61" s="87">
        <f t="shared" si="1"/>
        <v>0.11600000000000001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IFERROR(VLOOKUP(A62,[4]Opolski!$A$7:$D$100,4,FALSE),0)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IFERROR(VLOOKUP(A63,[4]Opolski!$A$7:$D$100,4,FALSE),0)</f>
        <v>5700</v>
      </c>
      <c r="D63" s="32">
        <f>C63-5137</f>
        <v>563</v>
      </c>
      <c r="E63" s="28">
        <f t="shared" si="0"/>
        <v>-5137</v>
      </c>
      <c r="F63" s="38">
        <f t="shared" si="1"/>
        <v>9.8799999999999999E-2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IFERROR(VLOOKUP(A64,[4]Opolski!$A$7:$D$100,4,FALSE),0)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IFERROR(VLOOKUP(A65,[4]Opolski!$A$7:$D$100,4,FALSE),0)</f>
        <v>2500</v>
      </c>
      <c r="D65" s="32">
        <f>C65-2112</f>
        <v>388</v>
      </c>
      <c r="E65" s="28">
        <f t="shared" si="0"/>
        <v>-2112</v>
      </c>
      <c r="F65" s="38">
        <f t="shared" si="1"/>
        <v>0.1552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IFERROR(VLOOKUP(A66,[4]Opolski!$A$7:$D$100,4,FALSE),0)</f>
        <v>1238</v>
      </c>
      <c r="D66" s="86">
        <f>C66-1044</f>
        <v>194</v>
      </c>
      <c r="E66" s="67">
        <f t="shared" si="0"/>
        <v>-1044</v>
      </c>
      <c r="F66" s="87">
        <f t="shared" si="1"/>
        <v>0.15670000000000001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67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4126573</v>
      </c>
      <c r="D6" s="82">
        <f>D7+D8+D9+D14+D15+D16+D17+D18+D19+D20+D21+D22+D23+D24+D28+D29+D31+D32+D33+D34+D35</f>
        <v>4179795</v>
      </c>
      <c r="E6" s="67">
        <f>IF(C6=D6,"-",D6-C6)</f>
        <v>53222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IFERROR(VLOOKUP(A7,[4]Podkarpacki!$A$7:$D$100,4,FALSE),0)</f>
        <v>552707</v>
      </c>
      <c r="D7" s="13">
        <f>C7</f>
        <v>552707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IFERROR(VLOOKUP(A8,[4]Podkarpacki!$A$7:$D$100,4,FALSE),0)</f>
        <v>233308</v>
      </c>
      <c r="D8" s="13">
        <f>C8+5059</f>
        <v>238367</v>
      </c>
      <c r="E8" s="37">
        <f t="shared" si="0"/>
        <v>5059</v>
      </c>
      <c r="F8" s="38">
        <f t="shared" si="1"/>
        <v>1.0217000000000001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IFERROR(VLOOKUP(A9,[4]Podkarpacki!$A$7:$D$100,4,FALSE),0)</f>
        <v>2131888</v>
      </c>
      <c r="D9" s="13">
        <f>C9+9586+31570</f>
        <v>2173044</v>
      </c>
      <c r="E9" s="37">
        <f t="shared" si="0"/>
        <v>41156</v>
      </c>
      <c r="F9" s="38">
        <f t="shared" si="1"/>
        <v>1.0193000000000001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IFERROR(VLOOKUP(A10,[4]Podkarpacki!$A$7:$D$100,4,FALSE),0)</f>
        <v>186001</v>
      </c>
      <c r="D10" s="13">
        <f t="shared" ref="D10:D34" si="2">C10</f>
        <v>186001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IFERROR(VLOOKUP(A11,[4]Podkarpacki!$A$7:$D$100,4,FALSE),0)</f>
        <v>169641</v>
      </c>
      <c r="D11" s="13">
        <f t="shared" si="2"/>
        <v>169641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IFERROR(VLOOKUP(A12,[4]Podkarpacki!$A$7:$D$100,4,FALSE),0)</f>
        <v>77725</v>
      </c>
      <c r="D12" s="13">
        <f t="shared" si="2"/>
        <v>77725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IFERROR(VLOOKUP(A13,[4]Podkarpacki!$A$7:$D$100,4,FALSE),0)</f>
        <v>36136</v>
      </c>
      <c r="D13" s="13">
        <f t="shared" si="2"/>
        <v>36136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IFERROR(VLOOKUP(A14,[4]Podkarpacki!$A$7:$D$100,4,FALSE),0)</f>
        <v>139325</v>
      </c>
      <c r="D14" s="13">
        <f t="shared" si="2"/>
        <v>139325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IFERROR(VLOOKUP(A15,[4]Podkarpacki!$A$7:$D$100,4,FALSE),0)</f>
        <v>152358</v>
      </c>
      <c r="D15" s="13">
        <f t="shared" si="2"/>
        <v>152358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IFERROR(VLOOKUP(A16,[4]Podkarpacki!$A$7:$D$100,4,FALSE),0)</f>
        <v>125412</v>
      </c>
      <c r="D16" s="13">
        <f t="shared" si="2"/>
        <v>125412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IFERROR(VLOOKUP(A17,[4]Podkarpacki!$A$7:$D$100,4,FALSE),0)</f>
        <v>47897</v>
      </c>
      <c r="D17" s="13">
        <f t="shared" si="2"/>
        <v>47897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IFERROR(VLOOKUP(A18,[4]Podkarpacki!$A$7:$D$100,4,FALSE),0)</f>
        <v>117135</v>
      </c>
      <c r="D18" s="13">
        <f t="shared" si="2"/>
        <v>117135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IFERROR(VLOOKUP(A19,[4]Podkarpacki!$A$7:$D$100,4,FALSE),0)</f>
        <v>37570</v>
      </c>
      <c r="D19" s="13">
        <f t="shared" si="2"/>
        <v>37570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IFERROR(VLOOKUP(A20,[4]Podkarpacki!$A$7:$D$100,4,FALSE),0)</f>
        <v>3286</v>
      </c>
      <c r="D20" s="13">
        <f t="shared" si="2"/>
        <v>3286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IFERROR(VLOOKUP(A21,[4]Podkarpacki!$A$7:$D$100,4,FALSE),0)</f>
        <v>8540</v>
      </c>
      <c r="D21" s="13">
        <f t="shared" si="2"/>
        <v>8540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IFERROR(VLOOKUP(A22,[4]Podkarpacki!$A$7:$D$100,4,FALSE),0)</f>
        <v>99074</v>
      </c>
      <c r="D22" s="13">
        <f t="shared" si="2"/>
        <v>99074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IFERROR(VLOOKUP(A23,[4]Podkarpacki!$A$7:$D$100,4,FALSE),0)</f>
        <v>54447</v>
      </c>
      <c r="D23" s="13">
        <f>C23+7007</f>
        <v>61454</v>
      </c>
      <c r="E23" s="37">
        <f t="shared" si="0"/>
        <v>7007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IFERROR(VLOOKUP(A24,[4]Podkarpacki!$A$7:$D$100,4,FALSE),0)</f>
        <v>410410</v>
      </c>
      <c r="D24" s="13">
        <f t="shared" si="2"/>
        <v>410410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IFERROR(VLOOKUP(A25,[4]Podkarpacki!$A$7:$D$100,4,FALSE),0)</f>
        <v>406665</v>
      </c>
      <c r="D25" s="13">
        <f t="shared" si="2"/>
        <v>406665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IFERROR(VLOOKUP(A26,[4]Podkarpacki!$A$7:$D$100,4,FALSE),0)</f>
        <v>2675</v>
      </c>
      <c r="D26" s="13">
        <f t="shared" si="2"/>
        <v>2675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IFERROR(VLOOKUP(A27,[4]Podkarpacki!$A$7:$D$100,4,FALSE),0)</f>
        <v>1070</v>
      </c>
      <c r="D27" s="13">
        <f t="shared" si="2"/>
        <v>1070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IFERROR(VLOOKUP(A28,[4]Podkarpacki!$A$7:$D$100,4,FALSE),0)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IFERROR(VLOOKUP(A29,[4]Podkarpacki!$A$7:$D$100,4,FALSE),0)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IFERROR(VLOOKUP(A30,[4]Podkarpacki!$A$7:$D$100,4,FALSE),0)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IFERROR(VLOOKUP(A31,[4]Podkarpacki!$A$7:$D$100,4,FALSE),0)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IFERROR(VLOOKUP(A32,[4]Podkarpacki!$A$7:$D$100,4,FALSE),0)</f>
        <v>11791</v>
      </c>
      <c r="D32" s="13">
        <f t="shared" si="2"/>
        <v>11791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IFERROR(VLOOKUP(A33,[4]Podkarpacki!$A$7:$D$100,4,FALSE),0)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IFERROR(VLOOKUP(A34,[4]Podkarpacki!$A$7:$D$100,4,FALSE),0)</f>
        <v>200</v>
      </c>
      <c r="D34" s="13">
        <f t="shared" si="2"/>
        <v>200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IFERROR(VLOOKUP(A35,[4]Podkarpacki!$A$7:$D$100,4,FALSE),0)</f>
        <v>1225</v>
      </c>
      <c r="D35" s="13">
        <f>C35</f>
        <v>1225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IFERROR(VLOOKUP(A36,[4]Podkarpacki!$A$7:$D$100,4,FALSE),0)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IFERROR(VLOOKUP(A37,[4]Podkarpacki!$A$7:$D$100,4,FALSE),0)</f>
        <v>109052</v>
      </c>
      <c r="D37" s="36">
        <f>C37</f>
        <v>109052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IFERROR(VLOOKUP(A38,[4]Podkarpacki!$A$7:$D$100,4,FALSE),0)</f>
        <v>35502</v>
      </c>
      <c r="D38" s="36">
        <f>C38</f>
        <v>35502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616187</v>
      </c>
      <c r="D39" s="31">
        <f>D11+D13+D24+D30</f>
        <v>616187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26529</v>
      </c>
      <c r="D40" s="70">
        <f>D41+D42+D43+D51+D53+D59+D60+D58</f>
        <v>26529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IFERROR(VLOOKUP(A41,[4]Podkarpacki!$A$7:$D$100,4,FALSE),0)</f>
        <v>1381</v>
      </c>
      <c r="D41" s="32">
        <f>C41</f>
        <v>1381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IFERROR(VLOOKUP(A42,[4]Podkarpacki!$A$7:$D$100,4,FALSE),0)</f>
        <v>2881</v>
      </c>
      <c r="D42" s="32">
        <f t="shared" ref="D42:D60" si="3">C42</f>
        <v>2881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122</v>
      </c>
      <c r="D43" s="32">
        <f>D44+D46+D47+D48+D49+D50</f>
        <v>122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IFERROR(VLOOKUP(A44,[4]Podkarpacki!$A$7:$D$100,4,FALSE),0)</f>
        <v>28</v>
      </c>
      <c r="D44" s="32">
        <f t="shared" si="3"/>
        <v>28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IFERROR(VLOOKUP(A45,[4]Podkarpacki!$A$7:$D$100,4,FALSE),0)</f>
        <v>28</v>
      </c>
      <c r="D45" s="32">
        <f t="shared" si="3"/>
        <v>28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IFERROR(VLOOKUP(A46,[4]Podkarpacki!$A$7:$D$100,4,FALSE),0)</f>
        <v>13</v>
      </c>
      <c r="D46" s="32">
        <f t="shared" si="3"/>
        <v>13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IFERROR(VLOOKUP(A47,[4]Podkarpacki!$A$7:$D$100,4,FALSE),0)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IFERROR(VLOOKUP(A48,[4]Podkarpacki!$A$7:$D$100,4,FALSE),0)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IFERROR(VLOOKUP(A49,[4]Podkarpacki!$A$7:$D$100,4,FALSE),0)</f>
        <v>44</v>
      </c>
      <c r="D49" s="32">
        <f t="shared" si="3"/>
        <v>44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IFERROR(VLOOKUP(A50,[4]Podkarpacki!$A$7:$D$100,4,FALSE),0)</f>
        <v>37</v>
      </c>
      <c r="D50" s="32">
        <f t="shared" si="3"/>
        <v>37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IFERROR(VLOOKUP(A51,[4]Podkarpacki!$A$7:$D$100,4,FALSE),0)</f>
        <v>15007</v>
      </c>
      <c r="D51" s="32">
        <f t="shared" si="3"/>
        <v>15007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IFERROR(VLOOKUP(A52,[4]Podkarpacki!$A$7:$D$100,4,FALSE),0)</f>
        <v>10</v>
      </c>
      <c r="D52" s="32">
        <f t="shared" si="3"/>
        <v>10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3365</v>
      </c>
      <c r="D53" s="28">
        <f>D54+D55+D56+D57</f>
        <v>3365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IFERROR(VLOOKUP(A54,[4]Podkarpacki!$A$7:$D$100,4,FALSE),0)</f>
        <v>2576</v>
      </c>
      <c r="D54" s="32">
        <f t="shared" si="3"/>
        <v>2576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IFERROR(VLOOKUP(A55,[4]Podkarpacki!$A$7:$D$100,4,FALSE),0)</f>
        <v>368</v>
      </c>
      <c r="D55" s="32">
        <f t="shared" si="3"/>
        <v>368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IFERROR(VLOOKUP(A56,[4]Podkarpacki!$A$7:$D$100,4,FALSE),0)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IFERROR(VLOOKUP(A57,[4]Podkarpacki!$A$7:$D$100,4,FALSE),0)</f>
        <v>421</v>
      </c>
      <c r="D57" s="32">
        <f t="shared" si="3"/>
        <v>421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IFERROR(VLOOKUP(A58,[4]Podkarpacki!$A$7:$D$100,4,FALSE),0)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IFERROR(VLOOKUP(A59,[4]Podkarpacki!$A$7:$D$100,4,FALSE),0)</f>
        <v>3500</v>
      </c>
      <c r="D59" s="32">
        <f t="shared" si="3"/>
        <v>3500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IFERROR(VLOOKUP(A60,[4]Podkarpacki!$A$7:$D$100,4,FALSE),0)</f>
        <v>273</v>
      </c>
      <c r="D60" s="32">
        <f t="shared" si="3"/>
        <v>273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4000</v>
      </c>
      <c r="D61" s="86">
        <f>D62+D63+D64+D65</f>
        <v>3000</v>
      </c>
      <c r="E61" s="67">
        <f t="shared" si="0"/>
        <v>-1000</v>
      </c>
      <c r="F61" s="87">
        <f t="shared" si="1"/>
        <v>0.75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IFERROR(VLOOKUP(A62,[4]Podkarpacki!$A$7:$D$100,4,FALSE),0)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IFERROR(VLOOKUP(A63,[4]Podkarpacki!$A$7:$D$100,4,FALSE),0)</f>
        <v>3000</v>
      </c>
      <c r="D63" s="32">
        <f>C63-1000</f>
        <v>2000</v>
      </c>
      <c r="E63" s="28">
        <f t="shared" si="0"/>
        <v>-1000</v>
      </c>
      <c r="F63" s="38">
        <f t="shared" si="1"/>
        <v>0.66669999999999996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IFERROR(VLOOKUP(A64,[4]Podkarpacki!$A$7:$D$100,4,FALSE),0)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IFERROR(VLOOKUP(A65,[4]Podkarpacki!$A$7:$D$100,4,FALSE),0)</f>
        <v>1000</v>
      </c>
      <c r="D65" s="32">
        <f>C65</f>
        <v>1000</v>
      </c>
      <c r="E65" s="28" t="str">
        <f t="shared" si="0"/>
        <v>-</v>
      </c>
      <c r="F65" s="38">
        <f t="shared" si="1"/>
        <v>1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IFERROR(VLOOKUP(A66,[4]Podkarpacki!$A$7:$D$100,4,FALSE),0)</f>
        <v>810</v>
      </c>
      <c r="D66" s="86">
        <f>C66-610</f>
        <v>200</v>
      </c>
      <c r="E66" s="67">
        <f t="shared" si="0"/>
        <v>-610</v>
      </c>
      <c r="F66" s="87">
        <f t="shared" si="1"/>
        <v>0.24690000000000001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68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2331521</v>
      </c>
      <c r="D6" s="82">
        <f>D7+D8+D9+D14+D15+D16+D17+D18+D19+D20+D21+D22+D23+D24+D28+D29+D31+D32+D33+D34+D35</f>
        <v>2361559</v>
      </c>
      <c r="E6" s="67">
        <f>IF(C6=D6,"-",D6-C6)</f>
        <v>30038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IFERROR(VLOOKUP(A7,[4]Podlaski!$A$7:$D$100,4,FALSE),0)</f>
        <v>324000</v>
      </c>
      <c r="D7" s="13">
        <f>C7</f>
        <v>324000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IFERROR(VLOOKUP(A8,[4]Podlaski!$A$7:$D$100,4,FALSE),0)</f>
        <v>139590</v>
      </c>
      <c r="D8" s="13">
        <f>C8+2855+2070</f>
        <v>144515</v>
      </c>
      <c r="E8" s="37">
        <f t="shared" si="0"/>
        <v>4925</v>
      </c>
      <c r="F8" s="38">
        <f t="shared" si="1"/>
        <v>1.0353000000000001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IFERROR(VLOOKUP(A9,[4]Podlaski!$A$7:$D$100,4,FALSE),0)</f>
        <v>1236511</v>
      </c>
      <c r="D9" s="13">
        <f>C9+5410+15778</f>
        <v>1257699</v>
      </c>
      <c r="E9" s="37">
        <f t="shared" si="0"/>
        <v>21188</v>
      </c>
      <c r="F9" s="38">
        <f t="shared" si="1"/>
        <v>1.0170999999999999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IFERROR(VLOOKUP(A10,[4]Podlaski!$A$7:$D$100,4,FALSE),0)</f>
        <v>91500</v>
      </c>
      <c r="D10" s="13">
        <f t="shared" ref="D10:D34" si="2">C10</f>
        <v>91500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IFERROR(VLOOKUP(A11,[4]Podlaski!$A$7:$D$100,4,FALSE),0)</f>
        <v>83501</v>
      </c>
      <c r="D11" s="13">
        <f t="shared" si="2"/>
        <v>83501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IFERROR(VLOOKUP(A12,[4]Podlaski!$A$7:$D$100,4,FALSE),0)</f>
        <v>45960</v>
      </c>
      <c r="D12" s="13">
        <f t="shared" si="2"/>
        <v>45960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IFERROR(VLOOKUP(A13,[4]Podlaski!$A$7:$D$100,4,FALSE),0)</f>
        <v>24250</v>
      </c>
      <c r="D13" s="13">
        <f t="shared" si="2"/>
        <v>24250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IFERROR(VLOOKUP(A14,[4]Podlaski!$A$7:$D$100,4,FALSE),0)</f>
        <v>92701</v>
      </c>
      <c r="D14" s="13">
        <f t="shared" si="2"/>
        <v>92701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IFERROR(VLOOKUP(A15,[4]Podlaski!$A$7:$D$100,4,FALSE),0)</f>
        <v>62810</v>
      </c>
      <c r="D15" s="13">
        <f t="shared" si="2"/>
        <v>62810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IFERROR(VLOOKUP(A16,[4]Podlaski!$A$7:$D$100,4,FALSE),0)</f>
        <v>38940</v>
      </c>
      <c r="D16" s="13">
        <f t="shared" si="2"/>
        <v>38940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IFERROR(VLOOKUP(A17,[4]Podlaski!$A$7:$D$100,4,FALSE),0)</f>
        <v>22720</v>
      </c>
      <c r="D17" s="13">
        <f t="shared" si="2"/>
        <v>22720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IFERROR(VLOOKUP(A18,[4]Podlaski!$A$7:$D$100,4,FALSE),0)</f>
        <v>63200</v>
      </c>
      <c r="D18" s="13">
        <f t="shared" si="2"/>
        <v>63200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IFERROR(VLOOKUP(A19,[4]Podlaski!$A$7:$D$100,4,FALSE),0)</f>
        <v>20500</v>
      </c>
      <c r="D19" s="13">
        <f t="shared" si="2"/>
        <v>20500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IFERROR(VLOOKUP(A20,[4]Podlaski!$A$7:$D$100,4,FALSE),0)</f>
        <v>1730</v>
      </c>
      <c r="D20" s="13">
        <f t="shared" si="2"/>
        <v>1730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IFERROR(VLOOKUP(A21,[4]Podlaski!$A$7:$D$100,4,FALSE),0)</f>
        <v>4654</v>
      </c>
      <c r="D21" s="13">
        <f t="shared" si="2"/>
        <v>4654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IFERROR(VLOOKUP(A22,[4]Podlaski!$A$7:$D$100,4,FALSE),0)</f>
        <v>65400</v>
      </c>
      <c r="D22" s="13">
        <f t="shared" si="2"/>
        <v>65400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IFERROR(VLOOKUP(A23,[4]Podlaski!$A$7:$D$100,4,FALSE),0)</f>
        <v>30500</v>
      </c>
      <c r="D23" s="13">
        <f>C23+3925</f>
        <v>34425</v>
      </c>
      <c r="E23" s="37">
        <f t="shared" si="0"/>
        <v>3925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IFERROR(VLOOKUP(A24,[4]Podlaski!$A$7:$D$100,4,FALSE),0)</f>
        <v>222700</v>
      </c>
      <c r="D24" s="13">
        <f t="shared" si="2"/>
        <v>222700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IFERROR(VLOOKUP(A25,[4]Podlaski!$A$7:$D$100,4,FALSE),0)</f>
        <v>221000</v>
      </c>
      <c r="D25" s="13">
        <f t="shared" si="2"/>
        <v>221000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IFERROR(VLOOKUP(A26,[4]Podlaski!$A$7:$D$100,4,FALSE),0)</f>
        <v>1200</v>
      </c>
      <c r="D26" s="13">
        <f t="shared" si="2"/>
        <v>1200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IFERROR(VLOOKUP(A27,[4]Podlaski!$A$7:$D$100,4,FALSE),0)</f>
        <v>500</v>
      </c>
      <c r="D27" s="13">
        <f t="shared" si="2"/>
        <v>500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IFERROR(VLOOKUP(A28,[4]Podlaski!$A$7:$D$100,4,FALSE),0)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IFERROR(VLOOKUP(A29,[4]Podlaski!$A$7:$D$100,4,FALSE),0)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IFERROR(VLOOKUP(A30,[4]Podlaski!$A$7:$D$100,4,FALSE),0)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IFERROR(VLOOKUP(A31,[4]Podlaski!$A$7:$D$100,4,FALSE),0)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IFERROR(VLOOKUP(A32,[4]Podlaski!$A$7:$D$100,4,FALSE),0)</f>
        <v>4355</v>
      </c>
      <c r="D32" s="13">
        <f t="shared" si="2"/>
        <v>4355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IFERROR(VLOOKUP(A33,[4]Podlaski!$A$7:$D$100,4,FALSE),0)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IFERROR(VLOOKUP(A34,[4]Podlaski!$A$7:$D$100,4,FALSE),0)</f>
        <v>100</v>
      </c>
      <c r="D34" s="13">
        <f t="shared" si="2"/>
        <v>100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IFERROR(VLOOKUP(A35,[4]Podlaski!$A$7:$D$100,4,FALSE),0)</f>
        <v>1110</v>
      </c>
      <c r="D35" s="13">
        <f>C35</f>
        <v>1110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IFERROR(VLOOKUP(A36,[4]Podlaski!$A$7:$D$100,4,FALSE),0)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IFERROR(VLOOKUP(A37,[4]Podlaski!$A$7:$D$100,4,FALSE),0)</f>
        <v>73356</v>
      </c>
      <c r="D37" s="36">
        <f>C37</f>
        <v>73356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IFERROR(VLOOKUP(A38,[4]Podlaski!$A$7:$D$100,4,FALSE),0)</f>
        <v>22301</v>
      </c>
      <c r="D38" s="36">
        <f>C38</f>
        <v>22301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330451</v>
      </c>
      <c r="D39" s="31">
        <f>D11+D13+D24+D30</f>
        <v>330451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17584</v>
      </c>
      <c r="D40" s="70">
        <f>D41+D42+D43+D51+D53+D59+D60+D58</f>
        <v>17584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IFERROR(VLOOKUP(A41,[4]Podlaski!$A$7:$D$100,4,FALSE),0)</f>
        <v>595</v>
      </c>
      <c r="D41" s="32">
        <f>C41</f>
        <v>595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IFERROR(VLOOKUP(A42,[4]Podlaski!$A$7:$D$100,4,FALSE),0)</f>
        <v>1272</v>
      </c>
      <c r="D42" s="32">
        <f t="shared" ref="D42:D60" si="3">C42</f>
        <v>1272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251</v>
      </c>
      <c r="D43" s="32">
        <f>D44+D46+D47+D48+D49+D50</f>
        <v>251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IFERROR(VLOOKUP(A44,[4]Podlaski!$A$7:$D$100,4,FALSE),0)</f>
        <v>19</v>
      </c>
      <c r="D44" s="32">
        <f t="shared" si="3"/>
        <v>19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IFERROR(VLOOKUP(A45,[4]Podlaski!$A$7:$D$100,4,FALSE),0)</f>
        <v>19</v>
      </c>
      <c r="D45" s="32">
        <f t="shared" si="3"/>
        <v>19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IFERROR(VLOOKUP(A46,[4]Podlaski!$A$7:$D$100,4,FALSE),0)</f>
        <v>76</v>
      </c>
      <c r="D46" s="32">
        <f t="shared" si="3"/>
        <v>76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IFERROR(VLOOKUP(A47,[4]Podlaski!$A$7:$D$100,4,FALSE),0)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IFERROR(VLOOKUP(A48,[4]Podlaski!$A$7:$D$100,4,FALSE),0)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IFERROR(VLOOKUP(A49,[4]Podlaski!$A$7:$D$100,4,FALSE),0)</f>
        <v>150</v>
      </c>
      <c r="D49" s="32">
        <f t="shared" si="3"/>
        <v>150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IFERROR(VLOOKUP(A50,[4]Podlaski!$A$7:$D$100,4,FALSE),0)</f>
        <v>6</v>
      </c>
      <c r="D50" s="32">
        <f t="shared" si="3"/>
        <v>6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IFERROR(VLOOKUP(A51,[4]Podlaski!$A$7:$D$100,4,FALSE),0)</f>
        <v>10668</v>
      </c>
      <c r="D51" s="32">
        <f t="shared" si="3"/>
        <v>10668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IFERROR(VLOOKUP(A52,[4]Podlaski!$A$7:$D$100,4,FALSE),0)</f>
        <v>0</v>
      </c>
      <c r="D52" s="32">
        <f t="shared" si="3"/>
        <v>0</v>
      </c>
      <c r="E52" s="37" t="str">
        <f t="shared" si="0"/>
        <v>-</v>
      </c>
      <c r="F52" s="38" t="str">
        <f t="shared" si="1"/>
        <v>-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2395</v>
      </c>
      <c r="D53" s="28">
        <f>D54+D55+D56+D57</f>
        <v>2395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IFERROR(VLOOKUP(A54,[4]Podlaski!$A$7:$D$100,4,FALSE),0)</f>
        <v>1831</v>
      </c>
      <c r="D54" s="32">
        <f t="shared" si="3"/>
        <v>1831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IFERROR(VLOOKUP(A55,[4]Podlaski!$A$7:$D$100,4,FALSE),0)</f>
        <v>262</v>
      </c>
      <c r="D55" s="32">
        <f t="shared" si="3"/>
        <v>262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IFERROR(VLOOKUP(A56,[4]Podlaski!$A$7:$D$100,4,FALSE),0)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IFERROR(VLOOKUP(A57,[4]Podlaski!$A$7:$D$100,4,FALSE),0)</f>
        <v>302</v>
      </c>
      <c r="D57" s="32">
        <f t="shared" si="3"/>
        <v>302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IFERROR(VLOOKUP(A58,[4]Podlaski!$A$7:$D$100,4,FALSE),0)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IFERROR(VLOOKUP(A59,[4]Podlaski!$A$7:$D$100,4,FALSE),0)</f>
        <v>2253</v>
      </c>
      <c r="D59" s="32">
        <f t="shared" si="3"/>
        <v>2253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IFERROR(VLOOKUP(A60,[4]Podlaski!$A$7:$D$100,4,FALSE),0)</f>
        <v>150</v>
      </c>
      <c r="D60" s="32">
        <f t="shared" si="3"/>
        <v>150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1650</v>
      </c>
      <c r="D61" s="86">
        <f>D62+D63+D64+D65</f>
        <v>1200</v>
      </c>
      <c r="E61" s="67">
        <f t="shared" si="0"/>
        <v>-450</v>
      </c>
      <c r="F61" s="87">
        <f t="shared" si="1"/>
        <v>0.72729999999999995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IFERROR(VLOOKUP(A62,[4]Podlaski!$A$7:$D$100,4,FALSE),0)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IFERROR(VLOOKUP(A63,[4]Podlaski!$A$7:$D$100,4,FALSE),0)</f>
        <v>700</v>
      </c>
      <c r="D63" s="32">
        <f>C63-300</f>
        <v>400</v>
      </c>
      <c r="E63" s="28">
        <f t="shared" si="0"/>
        <v>-300</v>
      </c>
      <c r="F63" s="38">
        <f t="shared" si="1"/>
        <v>0.57140000000000002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IFERROR(VLOOKUP(A64,[4]Podlaski!$A$7:$D$100,4,FALSE),0)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IFERROR(VLOOKUP(A65,[4]Podlaski!$A$7:$D$100,4,FALSE),0)</f>
        <v>950</v>
      </c>
      <c r="D65" s="32">
        <f>C65-150</f>
        <v>800</v>
      </c>
      <c r="E65" s="28">
        <f t="shared" si="0"/>
        <v>-150</v>
      </c>
      <c r="F65" s="38">
        <f t="shared" si="1"/>
        <v>0.84209999999999996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IFERROR(VLOOKUP(A66,[4]Podlaski!$A$7:$D$100,4,FALSE),0)</f>
        <v>360</v>
      </c>
      <c r="D66" s="86">
        <f>C66+24</f>
        <v>384</v>
      </c>
      <c r="E66" s="67">
        <f t="shared" si="0"/>
        <v>24</v>
      </c>
      <c r="F66" s="87">
        <f t="shared" si="1"/>
        <v>1.0667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69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4523738</v>
      </c>
      <c r="D6" s="82">
        <f>D7+D8+D9+D14+D15+D16+D17+D18+D19+D20+D21+D22+D23+D24+D28+D29+D31+D32+D33+D34+D35</f>
        <v>4581688</v>
      </c>
      <c r="E6" s="67">
        <f>IF(C6=D6,"-",D6-C6)</f>
        <v>57950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IFERROR(VLOOKUP(A7,[4]Pomorski!$A$7:$D$100,4,FALSE),0)</f>
        <v>655715</v>
      </c>
      <c r="D7" s="13">
        <f>C7</f>
        <v>655715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IFERROR(VLOOKUP(A8,[4]Pomorski!$A$7:$D$100,4,FALSE),0)</f>
        <v>258891</v>
      </c>
      <c r="D8" s="13">
        <f>C8+5509+14000</f>
        <v>278400</v>
      </c>
      <c r="E8" s="37">
        <f t="shared" si="0"/>
        <v>19509</v>
      </c>
      <c r="F8" s="38">
        <f t="shared" si="1"/>
        <v>1.0753999999999999</v>
      </c>
    </row>
    <row r="9" spans="1:6" ht="33" customHeight="1" x14ac:dyDescent="0.2">
      <c r="A9" s="91" t="s">
        <v>3</v>
      </c>
      <c r="B9" s="14" t="s">
        <v>114</v>
      </c>
      <c r="C9" s="30">
        <f>IFERROR(VLOOKUP(A9,[4]Pomorski!$A$7:$D$100,4,FALSE),0)</f>
        <v>2259719</v>
      </c>
      <c r="D9" s="13">
        <f>C9+10437+20283</f>
        <v>2290439</v>
      </c>
      <c r="E9" s="37">
        <f t="shared" si="0"/>
        <v>30720</v>
      </c>
      <c r="F9" s="38">
        <f t="shared" si="1"/>
        <v>1.0136000000000001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IFERROR(VLOOKUP(A10,[4]Pomorski!$A$7:$D$100,4,FALSE),0)</f>
        <v>226118</v>
      </c>
      <c r="D10" s="13">
        <f t="shared" ref="D10:D34" si="2">C10</f>
        <v>226118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IFERROR(VLOOKUP(A11,[4]Pomorski!$A$7:$D$100,4,FALSE),0)</f>
        <v>207499</v>
      </c>
      <c r="D11" s="13">
        <f t="shared" si="2"/>
        <v>207499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IFERROR(VLOOKUP(A12,[4]Pomorski!$A$7:$D$100,4,FALSE),0)</f>
        <v>88928</v>
      </c>
      <c r="D12" s="13">
        <f t="shared" si="2"/>
        <v>88928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IFERROR(VLOOKUP(A13,[4]Pomorski!$A$7:$D$100,4,FALSE),0)</f>
        <v>49264</v>
      </c>
      <c r="D13" s="13">
        <f t="shared" si="2"/>
        <v>49264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IFERROR(VLOOKUP(A14,[4]Pomorski!$A$7:$D$100,4,FALSE),0)</f>
        <v>184447</v>
      </c>
      <c r="D14" s="13">
        <f t="shared" si="2"/>
        <v>184447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IFERROR(VLOOKUP(A15,[4]Pomorski!$A$7:$D$100,4,FALSE),0)</f>
        <v>134165</v>
      </c>
      <c r="D15" s="13">
        <f t="shared" si="2"/>
        <v>134165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IFERROR(VLOOKUP(A16,[4]Pomorski!$A$7:$D$100,4,FALSE),0)</f>
        <v>62218</v>
      </c>
      <c r="D16" s="13">
        <f t="shared" si="2"/>
        <v>62218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IFERROR(VLOOKUP(A17,[4]Pomorski!$A$7:$D$100,4,FALSE),0)</f>
        <v>44478</v>
      </c>
      <c r="D17" s="13">
        <f t="shared" si="2"/>
        <v>44478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IFERROR(VLOOKUP(A18,[4]Pomorski!$A$7:$D$100,4,FALSE),0)</f>
        <v>119266</v>
      </c>
      <c r="D18" s="13">
        <f t="shared" si="2"/>
        <v>119266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IFERROR(VLOOKUP(A19,[4]Pomorski!$A$7:$D$100,4,FALSE),0)</f>
        <v>32000</v>
      </c>
      <c r="D19" s="13">
        <f t="shared" si="2"/>
        <v>32000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IFERROR(VLOOKUP(A20,[4]Pomorski!$A$7:$D$100,4,FALSE),0)</f>
        <v>1539</v>
      </c>
      <c r="D20" s="13">
        <f t="shared" si="2"/>
        <v>1539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IFERROR(VLOOKUP(A21,[4]Pomorski!$A$7:$D$100,4,FALSE),0)</f>
        <v>11145</v>
      </c>
      <c r="D21" s="13">
        <f t="shared" si="2"/>
        <v>11145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IFERROR(VLOOKUP(A22,[4]Pomorski!$A$7:$D$100,4,FALSE),0)</f>
        <v>131794</v>
      </c>
      <c r="D22" s="13">
        <f t="shared" si="2"/>
        <v>131794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IFERROR(VLOOKUP(A23,[4]Pomorski!$A$7:$D$100,4,FALSE),0)</f>
        <v>60000</v>
      </c>
      <c r="D23" s="13">
        <f>C23+7721</f>
        <v>67721</v>
      </c>
      <c r="E23" s="37">
        <f t="shared" si="0"/>
        <v>7721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IFERROR(VLOOKUP(A24,[4]Pomorski!$A$7:$D$100,4,FALSE),0)</f>
        <v>550168</v>
      </c>
      <c r="D24" s="13">
        <f t="shared" si="2"/>
        <v>550168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IFERROR(VLOOKUP(A25,[4]Pomorski!$A$7:$D$100,4,FALSE),0)</f>
        <v>548471</v>
      </c>
      <c r="D25" s="13">
        <f t="shared" si="2"/>
        <v>548471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IFERROR(VLOOKUP(A26,[4]Pomorski!$A$7:$D$100,4,FALSE),0)</f>
        <v>931</v>
      </c>
      <c r="D26" s="13">
        <f t="shared" si="2"/>
        <v>931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IFERROR(VLOOKUP(A27,[4]Pomorski!$A$7:$D$100,4,FALSE),0)</f>
        <v>766</v>
      </c>
      <c r="D27" s="13">
        <f t="shared" si="2"/>
        <v>766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IFERROR(VLOOKUP(A28,[4]Pomorski!$A$7:$D$100,4,FALSE),0)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IFERROR(VLOOKUP(A29,[4]Pomorski!$A$7:$D$100,4,FALSE),0)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IFERROR(VLOOKUP(A30,[4]Pomorski!$A$7:$D$100,4,FALSE),0)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IFERROR(VLOOKUP(A31,[4]Pomorski!$A$7:$D$100,4,FALSE),0)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IFERROR(VLOOKUP(A32,[4]Pomorski!$A$7:$D$100,4,FALSE),0)</f>
        <v>13808</v>
      </c>
      <c r="D32" s="13">
        <f t="shared" si="2"/>
        <v>13808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IFERROR(VLOOKUP(A33,[4]Pomorski!$A$7:$D$100,4,FALSE),0)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IFERROR(VLOOKUP(A34,[4]Pomorski!$A$7:$D$100,4,FALSE),0)</f>
        <v>50</v>
      </c>
      <c r="D34" s="13">
        <f t="shared" si="2"/>
        <v>50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IFERROR(VLOOKUP(A35,[4]Pomorski!$A$7:$D$100,4,FALSE),0)</f>
        <v>4335</v>
      </c>
      <c r="D35" s="13">
        <f>C35</f>
        <v>4335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IFERROR(VLOOKUP(A36,[4]Pomorski!$A$7:$D$100,4,FALSE),0)</f>
        <v>200</v>
      </c>
      <c r="D36" s="36">
        <f>C36</f>
        <v>200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IFERROR(VLOOKUP(A37,[4]Pomorski!$A$7:$D$100,4,FALSE),0)</f>
        <v>106506</v>
      </c>
      <c r="D37" s="36">
        <f>C37</f>
        <v>106506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IFERROR(VLOOKUP(A38,[4]Pomorski!$A$7:$D$100,4,FALSE),0)</f>
        <v>34757</v>
      </c>
      <c r="D38" s="36">
        <f>C38</f>
        <v>34757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806931</v>
      </c>
      <c r="D39" s="31">
        <f>D11+D13+D24+D30</f>
        <v>806931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32651</v>
      </c>
      <c r="D40" s="70">
        <f>D41+D42+D43+D51+D53+D59+D60+D58</f>
        <v>32651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IFERROR(VLOOKUP(A41,[4]Pomorski!$A$7:$D$100,4,FALSE),0)</f>
        <v>1636</v>
      </c>
      <c r="D41" s="32">
        <f>C41</f>
        <v>1636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IFERROR(VLOOKUP(A42,[4]Pomorski!$A$7:$D$100,4,FALSE),0)</f>
        <v>3365</v>
      </c>
      <c r="D42" s="32">
        <f t="shared" ref="D42:D60" si="3">C42</f>
        <v>3365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155</v>
      </c>
      <c r="D43" s="32">
        <f>D44+D46+D47+D48+D49+D50</f>
        <v>155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IFERROR(VLOOKUP(A44,[4]Pomorski!$A$7:$D$100,4,FALSE),0)</f>
        <v>51</v>
      </c>
      <c r="D44" s="32">
        <f t="shared" si="3"/>
        <v>51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IFERROR(VLOOKUP(A45,[4]Pomorski!$A$7:$D$100,4,FALSE),0)</f>
        <v>51</v>
      </c>
      <c r="D45" s="32">
        <f t="shared" si="3"/>
        <v>51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IFERROR(VLOOKUP(A46,[4]Pomorski!$A$7:$D$100,4,FALSE),0)</f>
        <v>39</v>
      </c>
      <c r="D46" s="32">
        <f t="shared" si="3"/>
        <v>39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IFERROR(VLOOKUP(A47,[4]Pomorski!$A$7:$D$100,4,FALSE),0)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IFERROR(VLOOKUP(A48,[4]Pomorski!$A$7:$D$100,4,FALSE),0)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IFERROR(VLOOKUP(A49,[4]Pomorski!$A$7:$D$100,4,FALSE),0)</f>
        <v>45</v>
      </c>
      <c r="D49" s="32">
        <f t="shared" si="3"/>
        <v>45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IFERROR(VLOOKUP(A50,[4]Pomorski!$A$7:$D$100,4,FALSE),0)</f>
        <v>20</v>
      </c>
      <c r="D50" s="32">
        <f t="shared" si="3"/>
        <v>20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IFERROR(VLOOKUP(A51,[4]Pomorski!$A$7:$D$100,4,FALSE),0)</f>
        <v>20605</v>
      </c>
      <c r="D51" s="32">
        <f t="shared" si="3"/>
        <v>20605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IFERROR(VLOOKUP(A52,[4]Pomorski!$A$7:$D$100,4,FALSE),0)</f>
        <v>100</v>
      </c>
      <c r="D52" s="32">
        <f t="shared" si="3"/>
        <v>100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4620</v>
      </c>
      <c r="D53" s="28">
        <f>D54+D55+D56+D57</f>
        <v>4620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IFERROR(VLOOKUP(A54,[4]Pomorski!$A$7:$D$100,4,FALSE),0)</f>
        <v>3538</v>
      </c>
      <c r="D54" s="32">
        <f t="shared" si="3"/>
        <v>3538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IFERROR(VLOOKUP(A55,[4]Pomorski!$A$7:$D$100,4,FALSE),0)</f>
        <v>505</v>
      </c>
      <c r="D55" s="32">
        <f t="shared" si="3"/>
        <v>505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IFERROR(VLOOKUP(A56,[4]Pomorski!$A$7:$D$100,4,FALSE),0)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IFERROR(VLOOKUP(A57,[4]Pomorski!$A$7:$D$100,4,FALSE),0)</f>
        <v>577</v>
      </c>
      <c r="D57" s="32">
        <f t="shared" si="3"/>
        <v>577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IFERROR(VLOOKUP(A58,[4]Pomorski!$A$7:$D$100,4,FALSE),0)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IFERROR(VLOOKUP(A59,[4]Pomorski!$A$7:$D$100,4,FALSE),0)</f>
        <v>1999</v>
      </c>
      <c r="D59" s="32">
        <f t="shared" si="3"/>
        <v>1999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IFERROR(VLOOKUP(A60,[4]Pomorski!$A$7:$D$100,4,FALSE),0)</f>
        <v>271</v>
      </c>
      <c r="D60" s="32">
        <f t="shared" si="3"/>
        <v>271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2967</v>
      </c>
      <c r="D61" s="86">
        <f>D62+D63+D64+D65</f>
        <v>2107</v>
      </c>
      <c r="E61" s="67">
        <f t="shared" si="0"/>
        <v>-860</v>
      </c>
      <c r="F61" s="87">
        <f t="shared" si="1"/>
        <v>0.71009999999999995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IFERROR(VLOOKUP(A62,[4]Pomorski!$A$7:$D$100,4,FALSE),0)</f>
        <v>57</v>
      </c>
      <c r="D62" s="32">
        <f>C62</f>
        <v>57</v>
      </c>
      <c r="E62" s="28" t="str">
        <f t="shared" si="0"/>
        <v>-</v>
      </c>
      <c r="F62" s="38">
        <f t="shared" si="1"/>
        <v>1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IFERROR(VLOOKUP(A63,[4]Pomorski!$A$7:$D$100,4,FALSE),0)</f>
        <v>1210</v>
      </c>
      <c r="D63" s="32">
        <f>C63-160</f>
        <v>1050</v>
      </c>
      <c r="E63" s="28">
        <f t="shared" si="0"/>
        <v>-160</v>
      </c>
      <c r="F63" s="38">
        <f t="shared" si="1"/>
        <v>0.86780000000000002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IFERROR(VLOOKUP(A64,[4]Pomorski!$A$7:$D$100,4,FALSE),0)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IFERROR(VLOOKUP(A65,[4]Pomorski!$A$7:$D$100,4,FALSE),0)</f>
        <v>1700</v>
      </c>
      <c r="D65" s="32">
        <f>C65-700</f>
        <v>1000</v>
      </c>
      <c r="E65" s="28">
        <f t="shared" si="0"/>
        <v>-700</v>
      </c>
      <c r="F65" s="38">
        <f t="shared" si="1"/>
        <v>0.58819999999999995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IFERROR(VLOOKUP(A66,[4]Pomorski!$A$7:$D$100,4,FALSE),0)</f>
        <v>1000</v>
      </c>
      <c r="D66" s="86">
        <f>C66-50</f>
        <v>950</v>
      </c>
      <c r="E66" s="67">
        <f t="shared" si="0"/>
        <v>-50</v>
      </c>
      <c r="F66" s="87">
        <f t="shared" si="1"/>
        <v>0.95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70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9451488</v>
      </c>
      <c r="D6" s="82">
        <f>D7+D8+D9+D14+D15+D16+D17+D18+D19+D20+D21+D22+D23+D24+D28+D29+D31+D32+D33+D34+D35</f>
        <v>9572485</v>
      </c>
      <c r="E6" s="67">
        <f>IF(C6=D6,"-",D6-C6)</f>
        <v>120997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IFERROR(VLOOKUP(A7,[4]Śląski!$A$7:$D$100,4,FALSE),0)</f>
        <v>1236418</v>
      </c>
      <c r="D7" s="13">
        <f>C7</f>
        <v>1236418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IFERROR(VLOOKUP(A8,[4]Śląski!$A$7:$D$100,4,FALSE),0)</f>
        <v>641259</v>
      </c>
      <c r="D8" s="13">
        <f>C8+11502+12530</f>
        <v>665291</v>
      </c>
      <c r="E8" s="37">
        <f t="shared" si="0"/>
        <v>24032</v>
      </c>
      <c r="F8" s="38">
        <f t="shared" si="1"/>
        <v>1.0375000000000001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IFERROR(VLOOKUP(A9,[4]Śląski!$A$7:$D$100,4,FALSE),0)</f>
        <v>4790931</v>
      </c>
      <c r="D9" s="13">
        <f>C9+21792+49575</f>
        <v>4862298</v>
      </c>
      <c r="E9" s="37">
        <f t="shared" si="0"/>
        <v>71367</v>
      </c>
      <c r="F9" s="38">
        <f t="shared" si="1"/>
        <v>1.0148999999999999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IFERROR(VLOOKUP(A10,[4]Śląski!$A$7:$D$100,4,FALSE),0)</f>
        <v>455346</v>
      </c>
      <c r="D10" s="13">
        <f t="shared" ref="D10:D34" si="2">C10</f>
        <v>455346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IFERROR(VLOOKUP(A11,[4]Śląski!$A$7:$D$100,4,FALSE),0)</f>
        <v>411460</v>
      </c>
      <c r="D11" s="13">
        <f t="shared" si="2"/>
        <v>411460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IFERROR(VLOOKUP(A12,[4]Śląski!$A$7:$D$100,4,FALSE),0)</f>
        <v>169779</v>
      </c>
      <c r="D12" s="13">
        <f t="shared" si="2"/>
        <v>169779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IFERROR(VLOOKUP(A13,[4]Śląski!$A$7:$D$100,4,FALSE),0)</f>
        <v>74937</v>
      </c>
      <c r="D13" s="13">
        <f t="shared" si="2"/>
        <v>74937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IFERROR(VLOOKUP(A14,[4]Śląski!$A$7:$D$100,4,FALSE),0)</f>
        <v>358282</v>
      </c>
      <c r="D14" s="13">
        <f t="shared" si="2"/>
        <v>358282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IFERROR(VLOOKUP(A15,[4]Śląski!$A$7:$D$100,4,FALSE),0)</f>
        <v>276390</v>
      </c>
      <c r="D15" s="13">
        <f t="shared" si="2"/>
        <v>276390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IFERROR(VLOOKUP(A16,[4]Śląski!$A$7:$D$100,4,FALSE),0)</f>
        <v>260702</v>
      </c>
      <c r="D16" s="13">
        <f t="shared" si="2"/>
        <v>260702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IFERROR(VLOOKUP(A17,[4]Śląski!$A$7:$D$100,4,FALSE),0)</f>
        <v>81687</v>
      </c>
      <c r="D17" s="13">
        <f t="shared" si="2"/>
        <v>81687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IFERROR(VLOOKUP(A18,[4]Śląski!$A$7:$D$100,4,FALSE),0)</f>
        <v>204744</v>
      </c>
      <c r="D18" s="13">
        <f t="shared" si="2"/>
        <v>204744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IFERROR(VLOOKUP(A19,[4]Śląski!$A$7:$D$100,4,FALSE),0)</f>
        <v>73014</v>
      </c>
      <c r="D19" s="13">
        <f t="shared" si="2"/>
        <v>73014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IFERROR(VLOOKUP(A20,[4]Śląski!$A$7:$D$100,4,FALSE),0)</f>
        <v>6225</v>
      </c>
      <c r="D20" s="13">
        <f t="shared" si="2"/>
        <v>6225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IFERROR(VLOOKUP(A21,[4]Śląski!$A$7:$D$100,4,FALSE),0)</f>
        <v>31868</v>
      </c>
      <c r="D21" s="13">
        <f t="shared" si="2"/>
        <v>31868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IFERROR(VLOOKUP(A22,[4]Śląski!$A$7:$D$100,4,FALSE),0)</f>
        <v>253256</v>
      </c>
      <c r="D22" s="13">
        <f>C22+4445</f>
        <v>257701</v>
      </c>
      <c r="E22" s="37">
        <f t="shared" si="0"/>
        <v>4445</v>
      </c>
      <c r="F22" s="38">
        <f t="shared" si="1"/>
        <v>1.0176000000000001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IFERROR(VLOOKUP(A23,[4]Śląski!$A$7:$D$100,4,FALSE),0)</f>
        <v>154381</v>
      </c>
      <c r="D23" s="13">
        <f>C23+21153</f>
        <v>175534</v>
      </c>
      <c r="E23" s="37">
        <f t="shared" si="0"/>
        <v>21153</v>
      </c>
      <c r="F23" s="38">
        <f t="shared" si="1"/>
        <v>1.137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IFERROR(VLOOKUP(A24,[4]Śląski!$A$7:$D$100,4,FALSE),0)</f>
        <v>1040221</v>
      </c>
      <c r="D24" s="13">
        <f t="shared" si="2"/>
        <v>1040221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IFERROR(VLOOKUP(A25,[4]Śląski!$A$7:$D$100,4,FALSE),0)</f>
        <v>1037512</v>
      </c>
      <c r="D25" s="13">
        <f t="shared" si="2"/>
        <v>1037512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IFERROR(VLOOKUP(A26,[4]Śląski!$A$7:$D$100,4,FALSE),0)</f>
        <v>2020</v>
      </c>
      <c r="D26" s="13">
        <f t="shared" si="2"/>
        <v>2020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IFERROR(VLOOKUP(A27,[4]Śląski!$A$7:$D$100,4,FALSE),0)</f>
        <v>689</v>
      </c>
      <c r="D27" s="13">
        <f t="shared" si="2"/>
        <v>689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IFERROR(VLOOKUP(A28,[4]Śląski!$A$7:$D$100,4,FALSE),0)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IFERROR(VLOOKUP(A29,[4]Śląski!$A$7:$D$100,4,FALSE),0)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IFERROR(VLOOKUP(A30,[4]Śląski!$A$7:$D$100,4,FALSE),0)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IFERROR(VLOOKUP(A31,[4]Śląski!$A$7:$D$100,4,FALSE),0)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IFERROR(VLOOKUP(A32,[4]Śląski!$A$7:$D$100,4,FALSE),0)</f>
        <v>33480</v>
      </c>
      <c r="D32" s="13">
        <f t="shared" si="2"/>
        <v>33480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IFERROR(VLOOKUP(A33,[4]Śląski!$A$7:$D$100,4,FALSE),0)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IFERROR(VLOOKUP(A34,[4]Śląski!$A$7:$D$100,4,FALSE),0)</f>
        <v>3000</v>
      </c>
      <c r="D34" s="13">
        <f t="shared" si="2"/>
        <v>3000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IFERROR(VLOOKUP(A35,[4]Śląski!$A$7:$D$100,4,FALSE),0)</f>
        <v>5630</v>
      </c>
      <c r="D35" s="13">
        <f>C35</f>
        <v>5630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IFERROR(VLOOKUP(A36,[4]Śląski!$A$7:$D$100,4,FALSE),0)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IFERROR(VLOOKUP(A37,[4]Śląski!$A$7:$D$100,4,FALSE),0)</f>
        <v>202473</v>
      </c>
      <c r="D37" s="36">
        <f>C37</f>
        <v>202473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IFERROR(VLOOKUP(A38,[4]Śląski!$A$7:$D$100,4,FALSE),0)</f>
        <v>77355</v>
      </c>
      <c r="D38" s="36">
        <f>C38</f>
        <v>77355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1526618</v>
      </c>
      <c r="D39" s="31">
        <f>D11+D13+D24+D30</f>
        <v>1526618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68611</v>
      </c>
      <c r="D40" s="70">
        <f>D41+D42+D43+D51+D53+D59+D60+D58</f>
        <v>68611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IFERROR(VLOOKUP(A41,[4]Śląski!$A$7:$D$100,4,FALSE),0)</f>
        <v>2479</v>
      </c>
      <c r="D41" s="32">
        <f>C41</f>
        <v>2479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IFERROR(VLOOKUP(A42,[4]Śląski!$A$7:$D$100,4,FALSE),0)</f>
        <v>9107</v>
      </c>
      <c r="D42" s="32">
        <f t="shared" ref="D42:D60" si="3">C42</f>
        <v>9107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475</v>
      </c>
      <c r="D43" s="32">
        <f>D44+D46+D47+D48+D49+D50</f>
        <v>475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IFERROR(VLOOKUP(A44,[4]Śląski!$A$7:$D$100,4,FALSE),0)</f>
        <v>130</v>
      </c>
      <c r="D44" s="32">
        <f t="shared" si="3"/>
        <v>130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IFERROR(VLOOKUP(A45,[4]Śląski!$A$7:$D$100,4,FALSE),0)</f>
        <v>130</v>
      </c>
      <c r="D45" s="32">
        <f t="shared" si="3"/>
        <v>130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IFERROR(VLOOKUP(A46,[4]Śląski!$A$7:$D$100,4,FALSE),0)</f>
        <v>10</v>
      </c>
      <c r="D46" s="32">
        <f t="shared" si="3"/>
        <v>10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IFERROR(VLOOKUP(A47,[4]Śląski!$A$7:$D$100,4,FALSE),0)</f>
        <v>1</v>
      </c>
      <c r="D47" s="32">
        <f t="shared" si="3"/>
        <v>1</v>
      </c>
      <c r="E47" s="37" t="str">
        <f t="shared" si="0"/>
        <v>-</v>
      </c>
      <c r="F47" s="38">
        <f t="shared" si="1"/>
        <v>1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IFERROR(VLOOKUP(A48,[4]Śląski!$A$7:$D$100,4,FALSE),0)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IFERROR(VLOOKUP(A49,[4]Śląski!$A$7:$D$100,4,FALSE),0)</f>
        <v>310</v>
      </c>
      <c r="D49" s="32">
        <f t="shared" si="3"/>
        <v>310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IFERROR(VLOOKUP(A50,[4]Śląski!$A$7:$D$100,4,FALSE),0)</f>
        <v>24</v>
      </c>
      <c r="D50" s="32">
        <f t="shared" si="3"/>
        <v>24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IFERROR(VLOOKUP(A51,[4]Śląski!$A$7:$D$100,4,FALSE),0)</f>
        <v>40930</v>
      </c>
      <c r="D51" s="32">
        <f t="shared" si="3"/>
        <v>40930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IFERROR(VLOOKUP(A52,[4]Śląski!$A$7:$D$100,4,FALSE),0)</f>
        <v>250</v>
      </c>
      <c r="D52" s="32">
        <f t="shared" si="3"/>
        <v>250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9175</v>
      </c>
      <c r="D53" s="28">
        <f>D54+D55+D56+D57</f>
        <v>9175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IFERROR(VLOOKUP(A54,[4]Śląski!$A$7:$D$100,4,FALSE),0)</f>
        <v>7021</v>
      </c>
      <c r="D54" s="32">
        <f t="shared" si="3"/>
        <v>7021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IFERROR(VLOOKUP(A55,[4]Śląski!$A$7:$D$100,4,FALSE),0)</f>
        <v>1003</v>
      </c>
      <c r="D55" s="32">
        <f t="shared" si="3"/>
        <v>1003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IFERROR(VLOOKUP(A56,[4]Śląski!$A$7:$D$100,4,FALSE),0)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IFERROR(VLOOKUP(A57,[4]Śląski!$A$7:$D$100,4,FALSE),0)</f>
        <v>1151</v>
      </c>
      <c r="D57" s="32">
        <f t="shared" si="3"/>
        <v>1151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IFERROR(VLOOKUP(A58,[4]Śląski!$A$7:$D$100,4,FALSE),0)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IFERROR(VLOOKUP(A59,[4]Śląski!$A$7:$D$100,4,FALSE),0)</f>
        <v>6136</v>
      </c>
      <c r="D59" s="32">
        <f t="shared" si="3"/>
        <v>6136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IFERROR(VLOOKUP(A60,[4]Śląski!$A$7:$D$100,4,FALSE),0)</f>
        <v>309</v>
      </c>
      <c r="D60" s="32">
        <f t="shared" si="3"/>
        <v>309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15522</v>
      </c>
      <c r="D61" s="86">
        <f>D62+D63+D64+D65</f>
        <v>10430</v>
      </c>
      <c r="E61" s="67">
        <f t="shared" si="0"/>
        <v>-5092</v>
      </c>
      <c r="F61" s="87">
        <f t="shared" si="1"/>
        <v>0.67190000000000005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IFERROR(VLOOKUP(A62,[4]Śląski!$A$7:$D$100,4,FALSE),0)</f>
        <v>300</v>
      </c>
      <c r="D62" s="32">
        <f>C62-50</f>
        <v>250</v>
      </c>
      <c r="E62" s="28">
        <f t="shared" si="0"/>
        <v>-50</v>
      </c>
      <c r="F62" s="38">
        <f t="shared" si="1"/>
        <v>0.83330000000000004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IFERROR(VLOOKUP(A63,[4]Śląski!$A$7:$D$100,4,FALSE),0)</f>
        <v>11108</v>
      </c>
      <c r="D63" s="32">
        <f>C63-8508</f>
        <v>2600</v>
      </c>
      <c r="E63" s="28">
        <f t="shared" si="0"/>
        <v>-8508</v>
      </c>
      <c r="F63" s="38">
        <f t="shared" si="1"/>
        <v>0.2341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IFERROR(VLOOKUP(A64,[4]Śląski!$A$7:$D$100,4,FALSE),0)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IFERROR(VLOOKUP(A65,[4]Śląski!$A$7:$D$100,4,FALSE),0)</f>
        <v>4114</v>
      </c>
      <c r="D65" s="32">
        <f>C65+3466</f>
        <v>7580</v>
      </c>
      <c r="E65" s="28">
        <f t="shared" si="0"/>
        <v>3466</v>
      </c>
      <c r="F65" s="38">
        <f t="shared" si="1"/>
        <v>1.8425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IFERROR(VLOOKUP(A66,[4]Śląski!$A$7:$D$100,4,FALSE),0)</f>
        <v>1355</v>
      </c>
      <c r="D66" s="86">
        <f>C66+195</f>
        <v>1550</v>
      </c>
      <c r="E66" s="67">
        <f t="shared" si="0"/>
        <v>195</v>
      </c>
      <c r="F66" s="87">
        <f t="shared" si="1"/>
        <v>1.1438999999999999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6"/>
  <sheetViews>
    <sheetView showGridLines="0" view="pageBreakPreview" zoomScale="55" zoomScaleNormal="70" zoomScaleSheetLayoutView="55" workbookViewId="0">
      <pane ySplit="6" topLeftCell="A7" activePane="bottomLeft" state="frozen"/>
      <selection activeCell="L43" sqref="L43"/>
      <selection pane="bottomLef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71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2583883</v>
      </c>
      <c r="D6" s="82">
        <f>D7+D8+D9+D14+D15+D16+D17+D18+D19+D20+D21+D22+D23+D24+D28+D29+D31+D32+D33+D34+D35</f>
        <v>2617265</v>
      </c>
      <c r="E6" s="67">
        <f>IF(C6=D6,"-",D6-C6)</f>
        <v>33382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IFERROR(VLOOKUP(A7,[4]Świętokrzyski!$A$7:$D$100,4,FALSE),0)</f>
        <v>322518</v>
      </c>
      <c r="D7" s="13">
        <f>C7</f>
        <v>322518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IFERROR(VLOOKUP(A8,[4]Świętokrzyski!$A$7:$D$100,4,FALSE),0)</f>
        <v>156225</v>
      </c>
      <c r="D8" s="13">
        <f>C8+3173+3500</f>
        <v>162898</v>
      </c>
      <c r="E8" s="37">
        <f t="shared" si="0"/>
        <v>6673</v>
      </c>
      <c r="F8" s="38">
        <f t="shared" si="1"/>
        <v>1.0427</v>
      </c>
    </row>
    <row r="9" spans="1:6" ht="33" customHeight="1" x14ac:dyDescent="0.2">
      <c r="A9" s="91" t="s">
        <v>3</v>
      </c>
      <c r="B9" s="14" t="s">
        <v>114</v>
      </c>
      <c r="C9" s="30">
        <f>IFERROR(VLOOKUP(A9,[4]Świętokrzyski!$A$7:$D$100,4,FALSE),0)</f>
        <v>1375301</v>
      </c>
      <c r="D9" s="13">
        <f>C9+6012+12757</f>
        <v>1394070</v>
      </c>
      <c r="E9" s="37">
        <f t="shared" si="0"/>
        <v>18769</v>
      </c>
      <c r="F9" s="38">
        <f t="shared" si="1"/>
        <v>1.0136000000000001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IFERROR(VLOOKUP(A10,[4]Świętokrzyski!$A$7:$D$100,4,FALSE),0)</f>
        <v>123552</v>
      </c>
      <c r="D10" s="13">
        <f>C10</f>
        <v>123552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IFERROR(VLOOKUP(A11,[4]Świętokrzyski!$A$7:$D$100,4,FALSE),0)</f>
        <v>110152</v>
      </c>
      <c r="D11" s="13">
        <f t="shared" ref="D11:D34" si="2">C11</f>
        <v>110152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IFERROR(VLOOKUP(A12,[4]Świętokrzyski!$A$7:$D$100,4,FALSE),0)</f>
        <v>58603</v>
      </c>
      <c r="D12" s="13">
        <f t="shared" si="2"/>
        <v>58603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IFERROR(VLOOKUP(A13,[4]Świętokrzyski!$A$7:$D$100,4,FALSE),0)</f>
        <v>27103</v>
      </c>
      <c r="D13" s="13">
        <f t="shared" si="2"/>
        <v>27103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IFERROR(VLOOKUP(A14,[4]Świętokrzyski!$A$7:$D$100,4,FALSE),0)</f>
        <v>91866</v>
      </c>
      <c r="D14" s="13">
        <f t="shared" si="2"/>
        <v>91866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IFERROR(VLOOKUP(A15,[4]Świętokrzyski!$A$7:$D$100,4,FALSE),0)</f>
        <v>82422</v>
      </c>
      <c r="D15" s="13">
        <f t="shared" si="2"/>
        <v>82422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IFERROR(VLOOKUP(A16,[4]Świętokrzyski!$A$7:$D$100,4,FALSE),0)</f>
        <v>60180</v>
      </c>
      <c r="D16" s="13">
        <f t="shared" si="2"/>
        <v>60180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IFERROR(VLOOKUP(A17,[4]Świętokrzyski!$A$7:$D$100,4,FALSE),0)</f>
        <v>30335</v>
      </c>
      <c r="D17" s="13">
        <f t="shared" si="2"/>
        <v>30335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IFERROR(VLOOKUP(A18,[4]Świętokrzyski!$A$7:$D$100,4,FALSE),0)</f>
        <v>66548</v>
      </c>
      <c r="D18" s="13">
        <f t="shared" si="2"/>
        <v>66548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IFERROR(VLOOKUP(A19,[4]Świętokrzyski!$A$7:$D$100,4,FALSE),0)</f>
        <v>26757</v>
      </c>
      <c r="D19" s="13">
        <f t="shared" si="2"/>
        <v>26757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IFERROR(VLOOKUP(A20,[4]Świętokrzyski!$A$7:$D$100,4,FALSE),0)</f>
        <v>1660</v>
      </c>
      <c r="D20" s="13">
        <f t="shared" si="2"/>
        <v>1660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IFERROR(VLOOKUP(A21,[4]Świętokrzyski!$A$7:$D$100,4,FALSE),0)</f>
        <v>6079</v>
      </c>
      <c r="D21" s="13">
        <f t="shared" si="2"/>
        <v>6079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IFERROR(VLOOKUP(A22,[4]Świętokrzyski!$A$7:$D$100,4,FALSE),0)</f>
        <v>56052</v>
      </c>
      <c r="D22" s="13">
        <f>C22+3500</f>
        <v>59552</v>
      </c>
      <c r="E22" s="37">
        <f t="shared" si="0"/>
        <v>3500</v>
      </c>
      <c r="F22" s="38">
        <f t="shared" si="1"/>
        <v>1.0624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IFERROR(VLOOKUP(A23,[4]Świętokrzyski!$A$7:$D$100,4,FALSE),0)</f>
        <v>34500</v>
      </c>
      <c r="D23" s="13">
        <f>C23+4440</f>
        <v>38940</v>
      </c>
      <c r="E23" s="37">
        <f t="shared" si="0"/>
        <v>4440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IFERROR(VLOOKUP(A24,[4]Świętokrzyski!$A$7:$D$100,4,FALSE),0)</f>
        <v>265706</v>
      </c>
      <c r="D24" s="13">
        <f t="shared" si="2"/>
        <v>265706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IFERROR(VLOOKUP(A25,[4]Świętokrzyski!$A$7:$D$100,4,FALSE),0)</f>
        <v>264916</v>
      </c>
      <c r="D25" s="13">
        <f t="shared" si="2"/>
        <v>264916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IFERROR(VLOOKUP(A26,[4]Świętokrzyski!$A$7:$D$100,4,FALSE),0)</f>
        <v>590</v>
      </c>
      <c r="D26" s="13">
        <f t="shared" si="2"/>
        <v>590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IFERROR(VLOOKUP(A27,[4]Świętokrzyski!$A$7:$D$100,4,FALSE),0)</f>
        <v>200</v>
      </c>
      <c r="D27" s="13">
        <f t="shared" si="2"/>
        <v>200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IFERROR(VLOOKUP(A28,[4]Świętokrzyski!$A$7:$D$100,4,FALSE),0)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IFERROR(VLOOKUP(A29,[4]Świętokrzyski!$A$7:$D$100,4,FALSE),0)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IFERROR(VLOOKUP(A30,[4]Świętokrzyski!$A$7:$D$100,4,FALSE),0)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IFERROR(VLOOKUP(A31,[4]Świętokrzyski!$A$7:$D$100,4,FALSE),0)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IFERROR(VLOOKUP(A32,[4]Świętokrzyski!$A$7:$D$100,4,FALSE),0)</f>
        <v>5780</v>
      </c>
      <c r="D32" s="13">
        <f t="shared" si="2"/>
        <v>5780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IFERROR(VLOOKUP(A33,[4]Świętokrzyski!$A$7:$D$100,4,FALSE),0)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IFERROR(VLOOKUP(A34,[4]Świętokrzyski!$A$7:$D$100,4,FALSE),0)</f>
        <v>529</v>
      </c>
      <c r="D34" s="13">
        <f t="shared" si="2"/>
        <v>529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IFERROR(VLOOKUP(A35,[4]Świętokrzyski!$A$7:$D$100,4,FALSE),0)</f>
        <v>1425</v>
      </c>
      <c r="D35" s="13">
        <f>C35</f>
        <v>1425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IFERROR(VLOOKUP(A36,[4]Świętokrzyski!$A$7:$D$100,4,FALSE),0)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IFERROR(VLOOKUP(A37,[4]Świętokrzyski!$A$7:$D$100,4,FALSE),0)</f>
        <v>60258</v>
      </c>
      <c r="D37" s="36">
        <f>C37</f>
        <v>60258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IFERROR(VLOOKUP(A38,[4]Świętokrzyski!$A$7:$D$100,4,FALSE),0)</f>
        <v>23614</v>
      </c>
      <c r="D38" s="36">
        <f>C38</f>
        <v>23614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402961</v>
      </c>
      <c r="D39" s="31">
        <f>D11+D13+D24+D30</f>
        <v>402961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17756</v>
      </c>
      <c r="D40" s="70">
        <f>D41+D42+D43+D51+D53+D59+D60+D58</f>
        <v>17756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IFERROR(VLOOKUP(A41,[4]Świętokrzyski!$A$7:$D$100,4,FALSE),0)</f>
        <v>632</v>
      </c>
      <c r="D41" s="32">
        <f>C41</f>
        <v>632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IFERROR(VLOOKUP(A42,[4]Świętokrzyski!$A$7:$D$100,4,FALSE),0)</f>
        <v>2215</v>
      </c>
      <c r="D42" s="32">
        <f t="shared" ref="D42:D60" si="3">C42</f>
        <v>2215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61</v>
      </c>
      <c r="D43" s="32">
        <f>D44+D46+D47+D48+D49+D50</f>
        <v>61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IFERROR(VLOOKUP(A44,[4]Świętokrzyski!$A$7:$D$100,4,FALSE),0)</f>
        <v>7</v>
      </c>
      <c r="D44" s="32">
        <f t="shared" si="3"/>
        <v>7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IFERROR(VLOOKUP(A45,[4]Świętokrzyski!$A$7:$D$100,4,FALSE),0)</f>
        <v>7</v>
      </c>
      <c r="D45" s="32">
        <f t="shared" si="3"/>
        <v>7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IFERROR(VLOOKUP(A46,[4]Świętokrzyski!$A$7:$D$100,4,FALSE),0)</f>
        <v>17</v>
      </c>
      <c r="D46" s="32">
        <f t="shared" si="3"/>
        <v>17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IFERROR(VLOOKUP(A47,[4]Świętokrzyski!$A$7:$D$100,4,FALSE),0)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IFERROR(VLOOKUP(A48,[4]Świętokrzyski!$A$7:$D$100,4,FALSE),0)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IFERROR(VLOOKUP(A49,[4]Świętokrzyski!$A$7:$D$100,4,FALSE),0)</f>
        <v>20</v>
      </c>
      <c r="D49" s="32">
        <f t="shared" si="3"/>
        <v>20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IFERROR(VLOOKUP(A50,[4]Świętokrzyski!$A$7:$D$100,4,FALSE),0)</f>
        <v>17</v>
      </c>
      <c r="D50" s="32">
        <f t="shared" si="3"/>
        <v>17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IFERROR(VLOOKUP(A51,[4]Świętokrzyski!$A$7:$D$100,4,FALSE),0)</f>
        <v>11600</v>
      </c>
      <c r="D51" s="32">
        <f t="shared" si="3"/>
        <v>11600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IFERROR(VLOOKUP(A52,[4]Świętokrzyski!$A$7:$D$100,4,FALSE),0)</f>
        <v>36</v>
      </c>
      <c r="D52" s="32">
        <f t="shared" si="3"/>
        <v>36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2603</v>
      </c>
      <c r="D53" s="28">
        <f>D54+D55+D56+D57</f>
        <v>2603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IFERROR(VLOOKUP(A54,[4]Świętokrzyski!$A$7:$D$100,4,FALSE),0)</f>
        <v>1992</v>
      </c>
      <c r="D54" s="32">
        <f t="shared" si="3"/>
        <v>1992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IFERROR(VLOOKUP(A55,[4]Świętokrzyski!$A$7:$D$100,4,FALSE),0)</f>
        <v>285</v>
      </c>
      <c r="D55" s="32">
        <f t="shared" si="3"/>
        <v>285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IFERROR(VLOOKUP(A56,[4]Świętokrzyski!$A$7:$D$100,4,FALSE),0)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IFERROR(VLOOKUP(A57,[4]Świętokrzyski!$A$7:$D$100,4,FALSE),0)</f>
        <v>326</v>
      </c>
      <c r="D57" s="32">
        <f t="shared" si="3"/>
        <v>326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IFERROR(VLOOKUP(A58,[4]Świętokrzyski!$A$7:$D$100,4,FALSE),0)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IFERROR(VLOOKUP(A59,[4]Świętokrzyski!$A$7:$D$100,4,FALSE),0)</f>
        <v>460</v>
      </c>
      <c r="D59" s="32">
        <f t="shared" si="3"/>
        <v>460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IFERROR(VLOOKUP(A60,[4]Świętokrzyski!$A$7:$D$100,4,FALSE),0)</f>
        <v>185</v>
      </c>
      <c r="D60" s="32">
        <f t="shared" si="3"/>
        <v>185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10795</v>
      </c>
      <c r="D61" s="86">
        <f>D62+D63+D64+D65</f>
        <v>10290</v>
      </c>
      <c r="E61" s="67">
        <f t="shared" si="0"/>
        <v>-505</v>
      </c>
      <c r="F61" s="87">
        <f t="shared" si="1"/>
        <v>0.95320000000000005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IFERROR(VLOOKUP(A62,[4]Świętokrzyski!$A$7:$D$100,4,FALSE),0)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IFERROR(VLOOKUP(A63,[4]Świętokrzyski!$A$7:$D$100,4,FALSE),0)</f>
        <v>10239</v>
      </c>
      <c r="D63" s="32">
        <f>C63-2773</f>
        <v>7466</v>
      </c>
      <c r="E63" s="28">
        <f t="shared" si="0"/>
        <v>-2773</v>
      </c>
      <c r="F63" s="38">
        <f t="shared" si="1"/>
        <v>0.72919999999999996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IFERROR(VLOOKUP(A64,[4]Świętokrzyski!$A$7:$D$100,4,FALSE),0)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IFERROR(VLOOKUP(A65,[4]Świętokrzyski!$A$7:$D$100,4,FALSE),0)</f>
        <v>556</v>
      </c>
      <c r="D65" s="32">
        <f>C65+2268</f>
        <v>2824</v>
      </c>
      <c r="E65" s="28">
        <f t="shared" si="0"/>
        <v>2268</v>
      </c>
      <c r="F65" s="38">
        <f t="shared" si="1"/>
        <v>5.0791000000000004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IFERROR(VLOOKUP(A66,[4]Świętokrzyski!$A$7:$D$100,4,FALSE),0)</f>
        <v>3885</v>
      </c>
      <c r="D66" s="86">
        <f>C66-2173</f>
        <v>1712</v>
      </c>
      <c r="E66" s="67">
        <f t="shared" si="0"/>
        <v>-2173</v>
      </c>
      <c r="F66" s="87">
        <f t="shared" si="1"/>
        <v>0.44069999999999998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I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72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2701566</v>
      </c>
      <c r="D6" s="82">
        <f>D7+D8+D9+D14+D15+D16+D17+D18+D19+D20+D21+D22+D23+D24+D28+D29+D31+D32+D33+D34+D35</f>
        <v>2736427</v>
      </c>
      <c r="E6" s="67">
        <f>IF(C6=D6,"-",D6-C6)</f>
        <v>34861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IFERROR(VLOOKUP(A7,[4]WarmińskoMazurski!$A$7:$D$100,4,FALSE),0)</f>
        <v>372944</v>
      </c>
      <c r="D7" s="13">
        <f>C7</f>
        <v>372944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IFERROR(VLOOKUP(A8,[4]WarmińskoMazurski!$A$7:$D$100,4,FALSE),0)</f>
        <v>163603</v>
      </c>
      <c r="D8" s="13">
        <f>C8+3314+20766</f>
        <v>187683</v>
      </c>
      <c r="E8" s="37">
        <f t="shared" si="0"/>
        <v>24080</v>
      </c>
      <c r="F8" s="38">
        <f t="shared" si="1"/>
        <v>1.1472</v>
      </c>
    </row>
    <row r="9" spans="1:6" ht="33" customHeight="1" x14ac:dyDescent="0.2">
      <c r="A9" s="91" t="s">
        <v>3</v>
      </c>
      <c r="B9" s="14" t="s">
        <v>114</v>
      </c>
      <c r="C9" s="30">
        <f>IFERROR(VLOOKUP(A9,[4]WarmińskoMazurski!$A$7:$D$100,4,FALSE),0)</f>
        <v>1399730</v>
      </c>
      <c r="D9" s="13">
        <f>C9+6279</f>
        <v>1406009</v>
      </c>
      <c r="E9" s="37">
        <f t="shared" si="0"/>
        <v>6279</v>
      </c>
      <c r="F9" s="38">
        <f t="shared" si="1"/>
        <v>1.0044999999999999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IFERROR(VLOOKUP(A10,[4]WarmińskoMazurski!$A$7:$D$100,4,FALSE),0)</f>
        <v>106344</v>
      </c>
      <c r="D10" s="13">
        <f t="shared" ref="D10:D34" si="2">C10</f>
        <v>106344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IFERROR(VLOOKUP(A11,[4]WarmińskoMazurski!$A$7:$D$100,4,FALSE),0)</f>
        <v>95519</v>
      </c>
      <c r="D11" s="13">
        <f t="shared" si="2"/>
        <v>95519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IFERROR(VLOOKUP(A12,[4]WarmińskoMazurski!$A$7:$D$100,4,FALSE),0)</f>
        <v>48395</v>
      </c>
      <c r="D12" s="13">
        <f t="shared" si="2"/>
        <v>48395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IFERROR(VLOOKUP(A13,[4]WarmińskoMazurski!$A$7:$D$100,4,FALSE),0)</f>
        <v>21530</v>
      </c>
      <c r="D13" s="13">
        <f t="shared" si="2"/>
        <v>21530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IFERROR(VLOOKUP(A14,[4]WarmińskoMazurski!$A$7:$D$100,4,FALSE),0)</f>
        <v>107606</v>
      </c>
      <c r="D14" s="13">
        <f t="shared" si="2"/>
        <v>107606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IFERROR(VLOOKUP(A15,[4]WarmińskoMazurski!$A$7:$D$100,4,FALSE),0)</f>
        <v>76217</v>
      </c>
      <c r="D15" s="13">
        <f t="shared" si="2"/>
        <v>76217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IFERROR(VLOOKUP(A16,[4]WarmińskoMazurski!$A$7:$D$100,4,FALSE),0)</f>
        <v>46631</v>
      </c>
      <c r="D16" s="13">
        <f t="shared" si="2"/>
        <v>46631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IFERROR(VLOOKUP(A17,[4]WarmińskoMazurski!$A$7:$D$100,4,FALSE),0)</f>
        <v>23580</v>
      </c>
      <c r="D17" s="13">
        <f t="shared" si="2"/>
        <v>23580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IFERROR(VLOOKUP(A18,[4]WarmińskoMazurski!$A$7:$D$100,4,FALSE),0)</f>
        <v>80845</v>
      </c>
      <c r="D18" s="13">
        <f t="shared" si="2"/>
        <v>80845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IFERROR(VLOOKUP(A19,[4]WarmińskoMazurski!$A$7:$D$100,4,FALSE),0)</f>
        <v>21295</v>
      </c>
      <c r="D19" s="13">
        <f t="shared" si="2"/>
        <v>21295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IFERROR(VLOOKUP(A20,[4]WarmińskoMazurski!$A$7:$D$100,4,FALSE),0)</f>
        <v>2925</v>
      </c>
      <c r="D20" s="13">
        <f t="shared" si="2"/>
        <v>2925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IFERROR(VLOOKUP(A21,[4]WarmińskoMazurski!$A$7:$D$100,4,FALSE),0)</f>
        <v>6704</v>
      </c>
      <c r="D21" s="13">
        <f t="shared" si="2"/>
        <v>6704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IFERROR(VLOOKUP(A22,[4]WarmińskoMazurski!$A$7:$D$100,4,FALSE),0)</f>
        <v>66785</v>
      </c>
      <c r="D22" s="13">
        <f t="shared" si="2"/>
        <v>66785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IFERROR(VLOOKUP(A23,[4]WarmińskoMazurski!$A$7:$D$100,4,FALSE),0)</f>
        <v>34984</v>
      </c>
      <c r="D23" s="13">
        <f>C23+4502</f>
        <v>39486</v>
      </c>
      <c r="E23" s="37">
        <f t="shared" si="0"/>
        <v>4502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IFERROR(VLOOKUP(A24,[4]WarmińskoMazurski!$A$7:$D$100,4,FALSE),0)</f>
        <v>281372</v>
      </c>
      <c r="D24" s="13">
        <f t="shared" si="2"/>
        <v>281372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IFERROR(VLOOKUP(A25,[4]WarmińskoMazurski!$A$7:$D$100,4,FALSE),0)</f>
        <v>280702</v>
      </c>
      <c r="D25" s="13">
        <f t="shared" si="2"/>
        <v>280702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IFERROR(VLOOKUP(A26,[4]WarmińskoMazurski!$A$7:$D$100,4,FALSE),0)</f>
        <v>520</v>
      </c>
      <c r="D26" s="13">
        <f t="shared" si="2"/>
        <v>520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IFERROR(VLOOKUP(A27,[4]WarmińskoMazurski!$A$7:$D$100,4,FALSE),0)</f>
        <v>150</v>
      </c>
      <c r="D27" s="13">
        <f t="shared" si="2"/>
        <v>150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IFERROR(VLOOKUP(A28,[4]WarmińskoMazurski!$A$7:$D$100,4,FALSE),0)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IFERROR(VLOOKUP(A29,[4]WarmińskoMazurski!$A$7:$D$100,4,FALSE),0)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IFERROR(VLOOKUP(A30,[4]WarmińskoMazurski!$A$7:$D$100,4,FALSE),0)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IFERROR(VLOOKUP(A31,[4]WarmińskoMazurski!$A$7:$D$100,4,FALSE),0)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IFERROR(VLOOKUP(A32,[4]WarmińskoMazurski!$A$7:$D$100,4,FALSE),0)</f>
        <v>15057</v>
      </c>
      <c r="D32" s="13">
        <f t="shared" si="2"/>
        <v>15057</v>
      </c>
      <c r="E32" s="37" t="str">
        <f t="shared" si="0"/>
        <v>-</v>
      </c>
      <c r="F32" s="38">
        <f t="shared" si="1"/>
        <v>1</v>
      </c>
    </row>
    <row r="33" spans="1:9" ht="42.75" customHeight="1" x14ac:dyDescent="0.2">
      <c r="A33" s="94" t="s">
        <v>178</v>
      </c>
      <c r="B33" s="16" t="s">
        <v>179</v>
      </c>
      <c r="C33" s="30">
        <f>IFERROR(VLOOKUP(A33,[4]WarmińskoMazurski!$A$7:$D$100,4,FALSE),0)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9" ht="33" customHeight="1" x14ac:dyDescent="0.2">
      <c r="A34" s="94" t="s">
        <v>185</v>
      </c>
      <c r="B34" s="16" t="s">
        <v>186</v>
      </c>
      <c r="C34" s="30">
        <f>IFERROR(VLOOKUP(A34,[4]WarmińskoMazurski!$A$7:$D$100,4,FALSE),0)</f>
        <v>208</v>
      </c>
      <c r="D34" s="13">
        <f t="shared" si="2"/>
        <v>208</v>
      </c>
      <c r="E34" s="37" t="str">
        <f>IF(C34=D34,"-",D34-C34)</f>
        <v>-</v>
      </c>
      <c r="F34" s="38">
        <f>IF(C34=0,"-",D34/C34)</f>
        <v>1</v>
      </c>
    </row>
    <row r="35" spans="1:9" ht="53.25" customHeight="1" x14ac:dyDescent="0.2">
      <c r="A35" s="94" t="s">
        <v>196</v>
      </c>
      <c r="B35" s="16" t="s">
        <v>197</v>
      </c>
      <c r="C35" s="30">
        <f>IFERROR(VLOOKUP(A35,[4]WarmińskoMazurski!$A$7:$D$100,4,FALSE),0)</f>
        <v>1080</v>
      </c>
      <c r="D35" s="13">
        <f>C35</f>
        <v>1080</v>
      </c>
      <c r="E35" s="37" t="str">
        <f>IF(C35=D35,"-",D35-C35)</f>
        <v>-</v>
      </c>
      <c r="F35" s="38">
        <f>IF(C35=0,"-",D35/C35)</f>
        <v>1</v>
      </c>
    </row>
    <row r="36" spans="1:9" s="2" customFormat="1" ht="31.5" customHeight="1" x14ac:dyDescent="0.2">
      <c r="A36" s="95" t="s">
        <v>56</v>
      </c>
      <c r="B36" s="17" t="s">
        <v>57</v>
      </c>
      <c r="C36" s="31">
        <f>IFERROR(VLOOKUP(A36,[4]WarmińskoMazurski!$A$7:$D$100,4,FALSE),0)</f>
        <v>0</v>
      </c>
      <c r="D36" s="36">
        <f>C36</f>
        <v>0</v>
      </c>
      <c r="E36" s="7" t="str">
        <f t="shared" si="0"/>
        <v>-</v>
      </c>
      <c r="F36" s="39" t="str">
        <f t="shared" si="1"/>
        <v>-</v>
      </c>
    </row>
    <row r="37" spans="1:9" s="2" customFormat="1" ht="31.5" customHeight="1" x14ac:dyDescent="0.2">
      <c r="A37" s="95" t="s">
        <v>55</v>
      </c>
      <c r="B37" s="17" t="s">
        <v>58</v>
      </c>
      <c r="C37" s="31">
        <f>IFERROR(VLOOKUP(A37,[4]WarmińskoMazurski!$A$7:$D$100,4,FALSE),0)</f>
        <v>98471</v>
      </c>
      <c r="D37" s="36">
        <f>C37</f>
        <v>98471</v>
      </c>
      <c r="E37" s="7" t="str">
        <f t="shared" si="0"/>
        <v>-</v>
      </c>
      <c r="F37" s="39">
        <f t="shared" si="1"/>
        <v>1</v>
      </c>
    </row>
    <row r="38" spans="1:9" s="2" customFormat="1" ht="60.75" x14ac:dyDescent="0.2">
      <c r="A38" s="95" t="s">
        <v>187</v>
      </c>
      <c r="B38" s="17" t="s">
        <v>188</v>
      </c>
      <c r="C38" s="31">
        <f>IFERROR(VLOOKUP(A38,[4]WarmińskoMazurski!$A$7:$D$100,4,FALSE),0)</f>
        <v>21132</v>
      </c>
      <c r="D38" s="36">
        <f>C38</f>
        <v>21132</v>
      </c>
      <c r="E38" s="7" t="str">
        <f t="shared" si="0"/>
        <v>-</v>
      </c>
      <c r="F38" s="39">
        <f t="shared" si="1"/>
        <v>1</v>
      </c>
      <c r="I38" s="110"/>
    </row>
    <row r="39" spans="1:9" s="2" customFormat="1" ht="42.75" customHeight="1" x14ac:dyDescent="0.2">
      <c r="A39" s="95" t="s">
        <v>153</v>
      </c>
      <c r="B39" s="17" t="s">
        <v>154</v>
      </c>
      <c r="C39" s="31">
        <f>C11+C13+C24+C30</f>
        <v>398421</v>
      </c>
      <c r="D39" s="31">
        <f>D11+D13+D24+D30</f>
        <v>398421</v>
      </c>
      <c r="E39" s="7" t="str">
        <f t="shared" si="0"/>
        <v>-</v>
      </c>
      <c r="F39" s="39">
        <f t="shared" si="1"/>
        <v>1</v>
      </c>
    </row>
    <row r="40" spans="1:9" ht="30" customHeight="1" x14ac:dyDescent="0.2">
      <c r="A40" s="96" t="s">
        <v>130</v>
      </c>
      <c r="B40" s="84" t="s">
        <v>183</v>
      </c>
      <c r="C40" s="70">
        <f>C41+C42+C43+C51+C53+C59+C60+C58</f>
        <v>20119</v>
      </c>
      <c r="D40" s="70">
        <f>D41+D42+D43+D51+D53+D59+D60+D58</f>
        <v>20119</v>
      </c>
      <c r="E40" s="67" t="str">
        <f t="shared" si="0"/>
        <v>-</v>
      </c>
      <c r="F40" s="85">
        <f t="shared" si="1"/>
        <v>1</v>
      </c>
    </row>
    <row r="41" spans="1:9" ht="28.5" customHeight="1" x14ac:dyDescent="0.2">
      <c r="A41" s="94" t="s">
        <v>16</v>
      </c>
      <c r="B41" s="18" t="s">
        <v>17</v>
      </c>
      <c r="C41" s="30">
        <f>IFERROR(VLOOKUP(A41,[4]WarmińskoMazurski!$A$7:$D$100,4,FALSE),0)</f>
        <v>629</v>
      </c>
      <c r="D41" s="32">
        <f>C41</f>
        <v>629</v>
      </c>
      <c r="E41" s="37" t="str">
        <f t="shared" si="0"/>
        <v>-</v>
      </c>
      <c r="F41" s="38">
        <f t="shared" si="1"/>
        <v>1</v>
      </c>
    </row>
    <row r="42" spans="1:9" ht="28.5" customHeight="1" x14ac:dyDescent="0.2">
      <c r="A42" s="94" t="s">
        <v>18</v>
      </c>
      <c r="B42" s="18" t="s">
        <v>19</v>
      </c>
      <c r="C42" s="30">
        <f>IFERROR(VLOOKUP(A42,[4]WarmińskoMazurski!$A$7:$D$100,4,FALSE),0)</f>
        <v>2285</v>
      </c>
      <c r="D42" s="32">
        <f t="shared" ref="D42:D60" si="3">C42</f>
        <v>2285</v>
      </c>
      <c r="E42" s="37" t="str">
        <f t="shared" si="0"/>
        <v>-</v>
      </c>
      <c r="F42" s="38">
        <f t="shared" si="1"/>
        <v>1</v>
      </c>
    </row>
    <row r="43" spans="1:9" ht="28.5" customHeight="1" x14ac:dyDescent="0.2">
      <c r="A43" s="94" t="s">
        <v>20</v>
      </c>
      <c r="B43" s="19" t="s">
        <v>184</v>
      </c>
      <c r="C43" s="32">
        <f>C44+C46+C47+C48+C49+C50</f>
        <v>141</v>
      </c>
      <c r="D43" s="32">
        <f>D44+D46+D47+D48+D49+D50</f>
        <v>141</v>
      </c>
      <c r="E43" s="37" t="str">
        <f t="shared" si="0"/>
        <v>-</v>
      </c>
      <c r="F43" s="38">
        <f t="shared" si="1"/>
        <v>1</v>
      </c>
    </row>
    <row r="44" spans="1:9" ht="28.5" customHeight="1" x14ac:dyDescent="0.2">
      <c r="A44" s="97" t="s">
        <v>37</v>
      </c>
      <c r="B44" s="45" t="s">
        <v>30</v>
      </c>
      <c r="C44" s="30">
        <f>IFERROR(VLOOKUP(A44,[4]WarmińskoMazurski!$A$7:$D$100,4,FALSE),0)</f>
        <v>31</v>
      </c>
      <c r="D44" s="32">
        <f t="shared" si="3"/>
        <v>31</v>
      </c>
      <c r="E44" s="37" t="str">
        <f t="shared" si="0"/>
        <v>-</v>
      </c>
      <c r="F44" s="38">
        <f t="shared" si="1"/>
        <v>1</v>
      </c>
    </row>
    <row r="45" spans="1:9" ht="28.5" customHeight="1" x14ac:dyDescent="0.2">
      <c r="A45" s="97" t="s">
        <v>38</v>
      </c>
      <c r="B45" s="46" t="s">
        <v>31</v>
      </c>
      <c r="C45" s="30">
        <f>IFERROR(VLOOKUP(A45,[4]WarmińskoMazurski!$A$7:$D$100,4,FALSE),0)</f>
        <v>28</v>
      </c>
      <c r="D45" s="32">
        <f t="shared" si="3"/>
        <v>28</v>
      </c>
      <c r="E45" s="37" t="str">
        <f t="shared" si="0"/>
        <v>-</v>
      </c>
      <c r="F45" s="38">
        <f t="shared" si="1"/>
        <v>1</v>
      </c>
    </row>
    <row r="46" spans="1:9" ht="28.5" customHeight="1" x14ac:dyDescent="0.2">
      <c r="A46" s="97" t="s">
        <v>39</v>
      </c>
      <c r="B46" s="45" t="s">
        <v>32</v>
      </c>
      <c r="C46" s="30">
        <f>IFERROR(VLOOKUP(A46,[4]WarmińskoMazurski!$A$7:$D$100,4,FALSE),0)</f>
        <v>11</v>
      </c>
      <c r="D46" s="32">
        <f t="shared" si="3"/>
        <v>11</v>
      </c>
      <c r="E46" s="37" t="str">
        <f t="shared" si="0"/>
        <v>-</v>
      </c>
      <c r="F46" s="38">
        <f t="shared" si="1"/>
        <v>1</v>
      </c>
    </row>
    <row r="47" spans="1:9" ht="28.5" customHeight="1" x14ac:dyDescent="0.2">
      <c r="A47" s="97" t="s">
        <v>40</v>
      </c>
      <c r="B47" s="45" t="s">
        <v>33</v>
      </c>
      <c r="C47" s="30">
        <f>IFERROR(VLOOKUP(A47,[4]WarmińskoMazurski!$A$7:$D$100,4,FALSE),0)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9" ht="28.5" customHeight="1" x14ac:dyDescent="0.2">
      <c r="A48" s="97" t="s">
        <v>41</v>
      </c>
      <c r="B48" s="45" t="s">
        <v>34</v>
      </c>
      <c r="C48" s="30">
        <f>IFERROR(VLOOKUP(A48,[4]WarmińskoMazurski!$A$7:$D$100,4,FALSE),0)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IFERROR(VLOOKUP(A49,[4]WarmińskoMazurski!$A$7:$D$100,4,FALSE),0)</f>
        <v>96</v>
      </c>
      <c r="D49" s="32">
        <f t="shared" si="3"/>
        <v>96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IFERROR(VLOOKUP(A50,[4]WarmińskoMazurski!$A$7:$D$100,4,FALSE),0)</f>
        <v>3</v>
      </c>
      <c r="D50" s="32">
        <f t="shared" si="3"/>
        <v>3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IFERROR(VLOOKUP(A51,[4]WarmińskoMazurski!$A$7:$D$100,4,FALSE),0)</f>
        <v>12324</v>
      </c>
      <c r="D51" s="32">
        <f t="shared" si="3"/>
        <v>12324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IFERROR(VLOOKUP(A52,[4]WarmińskoMazurski!$A$7:$D$100,4,FALSE),0)</f>
        <v>30</v>
      </c>
      <c r="D52" s="32">
        <f t="shared" si="3"/>
        <v>30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2749</v>
      </c>
      <c r="D53" s="28">
        <f>D54+D55+D56+D57</f>
        <v>2749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IFERROR(VLOOKUP(A54,[4]WarmińskoMazurski!$A$7:$D$100,4,FALSE),0)</f>
        <v>2117</v>
      </c>
      <c r="D54" s="32">
        <f t="shared" si="3"/>
        <v>2117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IFERROR(VLOOKUP(A55,[4]WarmińskoMazurski!$A$7:$D$100,4,FALSE),0)</f>
        <v>302</v>
      </c>
      <c r="D55" s="32">
        <f t="shared" si="3"/>
        <v>302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IFERROR(VLOOKUP(A56,[4]WarmińskoMazurski!$A$7:$D$100,4,FALSE),0)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IFERROR(VLOOKUP(A57,[4]WarmińskoMazurski!$A$7:$D$100,4,FALSE),0)</f>
        <v>330</v>
      </c>
      <c r="D57" s="32">
        <f t="shared" si="3"/>
        <v>330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IFERROR(VLOOKUP(A58,[4]WarmińskoMazurski!$A$7:$D$100,4,FALSE),0)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IFERROR(VLOOKUP(A59,[4]WarmińskoMazurski!$A$7:$D$100,4,FALSE),0)</f>
        <v>1822</v>
      </c>
      <c r="D59" s="32">
        <f t="shared" si="3"/>
        <v>1822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IFERROR(VLOOKUP(A60,[4]WarmińskoMazurski!$A$7:$D$100,4,FALSE),0)</f>
        <v>169</v>
      </c>
      <c r="D60" s="32">
        <f t="shared" si="3"/>
        <v>169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946</v>
      </c>
      <c r="D61" s="86">
        <f>D62+D63+D64+D65</f>
        <v>4661</v>
      </c>
      <c r="E61" s="67">
        <f t="shared" si="0"/>
        <v>3715</v>
      </c>
      <c r="F61" s="87">
        <f t="shared" si="1"/>
        <v>4.9271000000000003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IFERROR(VLOOKUP(A62,[4]WarmińskoMazurski!$A$7:$D$100,4,FALSE),0)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IFERROR(VLOOKUP(A63,[4]WarmińskoMazurski!$A$7:$D$100,4,FALSE),0)</f>
        <v>209</v>
      </c>
      <c r="D63" s="32">
        <f>C63+3715</f>
        <v>3924</v>
      </c>
      <c r="E63" s="28">
        <f t="shared" si="0"/>
        <v>3715</v>
      </c>
      <c r="F63" s="38">
        <f t="shared" si="1"/>
        <v>18.775099999999998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IFERROR(VLOOKUP(A64,[4]WarmińskoMazurski!$A$7:$D$100,4,FALSE),0)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IFERROR(VLOOKUP(A65,[4]WarmińskoMazurski!$A$7:$D$100,4,FALSE),0)</f>
        <v>737</v>
      </c>
      <c r="D65" s="32">
        <f>C65</f>
        <v>737</v>
      </c>
      <c r="E65" s="28" t="str">
        <f t="shared" si="0"/>
        <v>-</v>
      </c>
      <c r="F65" s="38">
        <f t="shared" si="1"/>
        <v>1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IFERROR(VLOOKUP(A66,[4]WarmińskoMazurski!$A$7:$D$100,4,FALSE),0)</f>
        <v>45</v>
      </c>
      <c r="D66" s="86">
        <f>C66+297</f>
        <v>342</v>
      </c>
      <c r="E66" s="67">
        <f t="shared" si="0"/>
        <v>297</v>
      </c>
      <c r="F66" s="87">
        <f t="shared" si="1"/>
        <v>7.6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73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6981983</v>
      </c>
      <c r="D6" s="82">
        <f>D7+D8+D9+D14+D15+D16+D17+D18+D19+D20+D21+D22+D23+D24+D28+D29+D31+D32+D33+D34+D35</f>
        <v>7071875</v>
      </c>
      <c r="E6" s="67">
        <f>IF(C6=D6,"-",D6-C6)</f>
        <v>89892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IFERROR(VLOOKUP(A7,[4]Wielkopolski!$A$7:$D$100,4,FALSE),0)</f>
        <v>955000</v>
      </c>
      <c r="D7" s="13">
        <f>C7</f>
        <v>955000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IFERROR(VLOOKUP(A8,[4]Wielkopolski!$A$7:$D$100,4,FALSE),0)</f>
        <v>444589</v>
      </c>
      <c r="D8" s="13">
        <f>C8+8545+6000</f>
        <v>459134</v>
      </c>
      <c r="E8" s="37">
        <f t="shared" si="0"/>
        <v>14545</v>
      </c>
      <c r="F8" s="38">
        <f t="shared" si="1"/>
        <v>1.0327</v>
      </c>
    </row>
    <row r="9" spans="1:6" ht="33" customHeight="1" x14ac:dyDescent="0.2">
      <c r="A9" s="91" t="s">
        <v>3</v>
      </c>
      <c r="B9" s="14" t="s">
        <v>114</v>
      </c>
      <c r="C9" s="30">
        <f>IFERROR(VLOOKUP(A9,[4]Wielkopolski!$A$7:$D$100,4,FALSE),0)</f>
        <v>3575062</v>
      </c>
      <c r="D9" s="13">
        <f>C9+16190+47297</f>
        <v>3638549</v>
      </c>
      <c r="E9" s="37">
        <f t="shared" si="0"/>
        <v>63487</v>
      </c>
      <c r="F9" s="38">
        <f t="shared" si="1"/>
        <v>1.0178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IFERROR(VLOOKUP(A10,[4]Wielkopolski!$A$7:$D$100,4,FALSE),0)</f>
        <v>334279</v>
      </c>
      <c r="D10" s="13">
        <f t="shared" ref="D10:D34" si="2">C10</f>
        <v>334279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IFERROR(VLOOKUP(A11,[4]Wielkopolski!$A$7:$D$100,4,FALSE),0)</f>
        <v>306369</v>
      </c>
      <c r="D11" s="13">
        <f t="shared" si="2"/>
        <v>306369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IFERROR(VLOOKUP(A12,[4]Wielkopolski!$A$7:$D$100,4,FALSE),0)</f>
        <v>139738</v>
      </c>
      <c r="D12" s="13">
        <f t="shared" si="2"/>
        <v>139738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IFERROR(VLOOKUP(A13,[4]Wielkopolski!$A$7:$D$100,4,FALSE),0)</f>
        <v>65734</v>
      </c>
      <c r="D13" s="13">
        <f t="shared" si="2"/>
        <v>65734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IFERROR(VLOOKUP(A14,[4]Wielkopolski!$A$7:$D$100,4,FALSE),0)</f>
        <v>245186</v>
      </c>
      <c r="D14" s="13">
        <f t="shared" si="2"/>
        <v>245186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IFERROR(VLOOKUP(A15,[4]Wielkopolski!$A$7:$D$100,4,FALSE),0)</f>
        <v>184351</v>
      </c>
      <c r="D15" s="13">
        <f t="shared" si="2"/>
        <v>184351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IFERROR(VLOOKUP(A16,[4]Wielkopolski!$A$7:$D$100,4,FALSE),0)</f>
        <v>94921</v>
      </c>
      <c r="D16" s="13">
        <f t="shared" si="2"/>
        <v>94921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IFERROR(VLOOKUP(A17,[4]Wielkopolski!$A$7:$D$100,4,FALSE),0)</f>
        <v>65162</v>
      </c>
      <c r="D17" s="13">
        <f t="shared" si="2"/>
        <v>65162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IFERROR(VLOOKUP(A18,[4]Wielkopolski!$A$7:$D$100,4,FALSE),0)</f>
        <v>153815</v>
      </c>
      <c r="D18" s="13">
        <f t="shared" si="2"/>
        <v>153815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IFERROR(VLOOKUP(A19,[4]Wielkopolski!$A$7:$D$100,4,FALSE),0)</f>
        <v>68200</v>
      </c>
      <c r="D19" s="13">
        <f t="shared" si="2"/>
        <v>68200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IFERROR(VLOOKUP(A20,[4]Wielkopolski!$A$7:$D$100,4,FALSE),0)</f>
        <v>3809</v>
      </c>
      <c r="D20" s="13">
        <f t="shared" si="2"/>
        <v>3809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IFERROR(VLOOKUP(A21,[4]Wielkopolski!$A$7:$D$100,4,FALSE),0)</f>
        <v>19263</v>
      </c>
      <c r="D21" s="13">
        <f t="shared" si="2"/>
        <v>19263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IFERROR(VLOOKUP(A22,[4]Wielkopolski!$A$7:$D$100,4,FALSE),0)</f>
        <v>214054</v>
      </c>
      <c r="D22" s="13">
        <f t="shared" si="2"/>
        <v>214054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IFERROR(VLOOKUP(A23,[4]Wielkopolski!$A$7:$D$100,4,FALSE),0)</f>
        <v>92161</v>
      </c>
      <c r="D23" s="13">
        <f>C23+11860</f>
        <v>104021</v>
      </c>
      <c r="E23" s="37">
        <f t="shared" si="0"/>
        <v>11860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IFERROR(VLOOKUP(A24,[4]Wielkopolski!$A$7:$D$100,4,FALSE),0)</f>
        <v>811070</v>
      </c>
      <c r="D24" s="13">
        <f t="shared" si="2"/>
        <v>811070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IFERROR(VLOOKUP(A25,[4]Wielkopolski!$A$7:$D$100,4,FALSE),0)</f>
        <v>808070</v>
      </c>
      <c r="D25" s="13">
        <f t="shared" si="2"/>
        <v>808070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IFERROR(VLOOKUP(A26,[4]Wielkopolski!$A$7:$D$100,4,FALSE),0)</f>
        <v>1500</v>
      </c>
      <c r="D26" s="13">
        <f t="shared" si="2"/>
        <v>1500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IFERROR(VLOOKUP(A27,[4]Wielkopolski!$A$7:$D$100,4,FALSE),0)</f>
        <v>1500</v>
      </c>
      <c r="D27" s="13">
        <f t="shared" si="2"/>
        <v>1500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IFERROR(VLOOKUP(A28,[4]Wielkopolski!$A$7:$D$100,4,FALSE),0)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IFERROR(VLOOKUP(A29,[4]Wielkopolski!$A$7:$D$100,4,FALSE),0)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IFERROR(VLOOKUP(A30,[4]Wielkopolski!$A$7:$D$100,4,FALSE),0)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IFERROR(VLOOKUP(A31,[4]Wielkopolski!$A$7:$D$100,4,FALSE),0)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IFERROR(VLOOKUP(A32,[4]Wielkopolski!$A$7:$D$100,4,FALSE),0)</f>
        <v>46310</v>
      </c>
      <c r="D32" s="13">
        <f t="shared" si="2"/>
        <v>46310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IFERROR(VLOOKUP(A33,[4]Wielkopolski!$A$7:$D$100,4,FALSE),0)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IFERROR(VLOOKUP(A34,[4]Wielkopolski!$A$7:$D$100,4,FALSE),0)</f>
        <v>5000</v>
      </c>
      <c r="D34" s="13">
        <f t="shared" si="2"/>
        <v>5000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IFERROR(VLOOKUP(A35,[4]Wielkopolski!$A$7:$D$100,4,FALSE),0)</f>
        <v>4030</v>
      </c>
      <c r="D35" s="13">
        <f>C35</f>
        <v>4030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IFERROR(VLOOKUP(A36,[4]Wielkopolski!$A$7:$D$100,4,FALSE),0)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IFERROR(VLOOKUP(A37,[4]Wielkopolski!$A$7:$D$100,4,FALSE),0)</f>
        <v>151671</v>
      </c>
      <c r="D37" s="36">
        <f>C37</f>
        <v>151671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IFERROR(VLOOKUP(A38,[4]Wielkopolski!$A$7:$D$100,4,FALSE),0)</f>
        <v>50651</v>
      </c>
      <c r="D38" s="36">
        <f>C38</f>
        <v>50651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1183173</v>
      </c>
      <c r="D39" s="31">
        <f>D11+D13+D24+D30</f>
        <v>1183173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46272</v>
      </c>
      <c r="D40" s="70">
        <f>D41+D42+D43+D51+D53+D59+D60+D58</f>
        <v>46272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IFERROR(VLOOKUP(A41,[4]Wielkopolski!$A$7:$D$100,4,FALSE),0)</f>
        <v>2414</v>
      </c>
      <c r="D41" s="32">
        <f>C41</f>
        <v>2414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IFERROR(VLOOKUP(A42,[4]Wielkopolski!$A$7:$D$100,4,FALSE),0)</f>
        <v>8149</v>
      </c>
      <c r="D42" s="32">
        <f t="shared" ref="D42:D60" si="3">C42</f>
        <v>8149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567</v>
      </c>
      <c r="D43" s="32">
        <f>D44+D46+D47+D48+D49+D50</f>
        <v>567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IFERROR(VLOOKUP(A44,[4]Wielkopolski!$A$7:$D$100,4,FALSE),0)</f>
        <v>53</v>
      </c>
      <c r="D44" s="32">
        <f t="shared" si="3"/>
        <v>53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IFERROR(VLOOKUP(A45,[4]Wielkopolski!$A$7:$D$100,4,FALSE),0)</f>
        <v>53</v>
      </c>
      <c r="D45" s="32">
        <f t="shared" si="3"/>
        <v>53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IFERROR(VLOOKUP(A46,[4]Wielkopolski!$A$7:$D$100,4,FALSE),0)</f>
        <v>246</v>
      </c>
      <c r="D46" s="32">
        <f t="shared" si="3"/>
        <v>246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IFERROR(VLOOKUP(A47,[4]Wielkopolski!$A$7:$D$100,4,FALSE),0)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IFERROR(VLOOKUP(A48,[4]Wielkopolski!$A$7:$D$100,4,FALSE),0)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IFERROR(VLOOKUP(A49,[4]Wielkopolski!$A$7:$D$100,4,FALSE),0)</f>
        <v>262</v>
      </c>
      <c r="D49" s="32">
        <f t="shared" si="3"/>
        <v>262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IFERROR(VLOOKUP(A50,[4]Wielkopolski!$A$7:$D$100,4,FALSE),0)</f>
        <v>6</v>
      </c>
      <c r="D50" s="32">
        <f t="shared" si="3"/>
        <v>6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IFERROR(VLOOKUP(A51,[4]Wielkopolski!$A$7:$D$100,4,FALSE),0)</f>
        <v>24868</v>
      </c>
      <c r="D51" s="32">
        <f t="shared" si="3"/>
        <v>24868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IFERROR(VLOOKUP(A52,[4]Wielkopolski!$A$7:$D$100,4,FALSE),0)</f>
        <v>123</v>
      </c>
      <c r="D52" s="32">
        <f t="shared" si="3"/>
        <v>123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5576</v>
      </c>
      <c r="D53" s="28">
        <f>D54+D55+D56+D57</f>
        <v>5576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IFERROR(VLOOKUP(A54,[4]Wielkopolski!$A$7:$D$100,4,FALSE),0)</f>
        <v>4270</v>
      </c>
      <c r="D54" s="32">
        <f t="shared" si="3"/>
        <v>4270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IFERROR(VLOOKUP(A55,[4]Wielkopolski!$A$7:$D$100,4,FALSE),0)</f>
        <v>609</v>
      </c>
      <c r="D55" s="32">
        <f t="shared" si="3"/>
        <v>609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IFERROR(VLOOKUP(A56,[4]Wielkopolski!$A$7:$D$100,4,FALSE),0)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IFERROR(VLOOKUP(A57,[4]Wielkopolski!$A$7:$D$100,4,FALSE),0)</f>
        <v>697</v>
      </c>
      <c r="D57" s="32">
        <f t="shared" si="3"/>
        <v>697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IFERROR(VLOOKUP(A58,[4]Wielkopolski!$A$7:$D$100,4,FALSE),0)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IFERROR(VLOOKUP(A59,[4]Wielkopolski!$A$7:$D$100,4,FALSE),0)</f>
        <v>4168</v>
      </c>
      <c r="D59" s="32">
        <f t="shared" si="3"/>
        <v>4168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IFERROR(VLOOKUP(A60,[4]Wielkopolski!$A$7:$D$100,4,FALSE),0)</f>
        <v>530</v>
      </c>
      <c r="D60" s="32">
        <f t="shared" si="3"/>
        <v>530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19850</v>
      </c>
      <c r="D61" s="86">
        <f>D62+D63+D64+D65</f>
        <v>14410</v>
      </c>
      <c r="E61" s="67">
        <f t="shared" si="0"/>
        <v>-5440</v>
      </c>
      <c r="F61" s="87">
        <f t="shared" si="1"/>
        <v>0.72589999999999999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IFERROR(VLOOKUP(A62,[4]Wielkopolski!$A$7:$D$100,4,FALSE),0)</f>
        <v>50</v>
      </c>
      <c r="D62" s="32">
        <f>C62</f>
        <v>50</v>
      </c>
      <c r="E62" s="28" t="str">
        <f t="shared" si="0"/>
        <v>-</v>
      </c>
      <c r="F62" s="38">
        <f t="shared" si="1"/>
        <v>1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IFERROR(VLOOKUP(A63,[4]Wielkopolski!$A$7:$D$100,4,FALSE),0)</f>
        <v>18600</v>
      </c>
      <c r="D63" s="32">
        <f>C63-5110</f>
        <v>13490</v>
      </c>
      <c r="E63" s="28">
        <f t="shared" si="0"/>
        <v>-5110</v>
      </c>
      <c r="F63" s="38">
        <f t="shared" si="1"/>
        <v>0.72529999999999994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IFERROR(VLOOKUP(A64,[4]Wielkopolski!$A$7:$D$100,4,FALSE),0)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IFERROR(VLOOKUP(A65,[4]Wielkopolski!$A$7:$D$100,4,FALSE),0)</f>
        <v>1200</v>
      </c>
      <c r="D65" s="32">
        <f>C65-330</f>
        <v>870</v>
      </c>
      <c r="E65" s="28">
        <f t="shared" si="0"/>
        <v>-330</v>
      </c>
      <c r="F65" s="38">
        <f t="shared" si="1"/>
        <v>0.72499999999999998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IFERROR(VLOOKUP(A66,[4]Wielkopolski!$A$7:$D$100,4,FALSE),0)</f>
        <v>3200</v>
      </c>
      <c r="D66" s="86">
        <f>C66+2686</f>
        <v>5886</v>
      </c>
      <c r="E66" s="67">
        <f t="shared" si="0"/>
        <v>2686</v>
      </c>
      <c r="F66" s="87">
        <f t="shared" si="1"/>
        <v>1.8393999999999999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74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3369152</v>
      </c>
      <c r="D6" s="82">
        <f>D7+D8+D9+D14+D15+D16+D17+D18+D19+D20+D21+D22+D23+D24+D28+D29+D31+D32+D33+D34+D35</f>
        <v>3412273</v>
      </c>
      <c r="E6" s="67">
        <f>IF(C6=D6,"-",D6-C6)</f>
        <v>43121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IFERROR(VLOOKUP(A7,[4]Zachodniopomorski!$A$7:$D$100,4,FALSE),0)</f>
        <v>454271</v>
      </c>
      <c r="D7" s="13">
        <f>C7</f>
        <v>454271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IFERROR(VLOOKUP(A8,[4]Zachodniopomorski!$A$7:$D$100,4,FALSE),0)</f>
        <v>182800</v>
      </c>
      <c r="D8" s="13">
        <f>C8+4099+2000</f>
        <v>188899</v>
      </c>
      <c r="E8" s="37">
        <f t="shared" si="0"/>
        <v>6099</v>
      </c>
      <c r="F8" s="38">
        <f t="shared" si="1"/>
        <v>1.0334000000000001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IFERROR(VLOOKUP(A9,[4]Zachodniopomorski!$A$7:$D$100,4,FALSE),0)</f>
        <v>1770867</v>
      </c>
      <c r="D9" s="13">
        <f>C9+7766+22387</f>
        <v>1801020</v>
      </c>
      <c r="E9" s="37">
        <f t="shared" si="0"/>
        <v>30153</v>
      </c>
      <c r="F9" s="38">
        <f t="shared" si="1"/>
        <v>1.0169999999999999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IFERROR(VLOOKUP(A10,[4]Zachodniopomorski!$A$7:$D$100,4,FALSE),0)</f>
        <v>134200</v>
      </c>
      <c r="D10" s="13">
        <f t="shared" ref="D10:D34" si="2">C10</f>
        <v>134200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IFERROR(VLOOKUP(A11,[4]Zachodniopomorski!$A$7:$D$100,4,FALSE),0)</f>
        <v>121500</v>
      </c>
      <c r="D11" s="13">
        <f t="shared" si="2"/>
        <v>121500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IFERROR(VLOOKUP(A12,[4]Zachodniopomorski!$A$7:$D$100,4,FALSE),0)</f>
        <v>61700</v>
      </c>
      <c r="D12" s="13">
        <f t="shared" si="2"/>
        <v>61700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IFERROR(VLOOKUP(A13,[4]Zachodniopomorski!$A$7:$D$100,4,FALSE),0)</f>
        <v>28200</v>
      </c>
      <c r="D13" s="13">
        <f t="shared" si="2"/>
        <v>28200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IFERROR(VLOOKUP(A14,[4]Zachodniopomorski!$A$7:$D$100,4,FALSE),0)</f>
        <v>110316</v>
      </c>
      <c r="D14" s="13">
        <f>C14+207</f>
        <v>110523</v>
      </c>
      <c r="E14" s="37">
        <f t="shared" si="0"/>
        <v>207</v>
      </c>
      <c r="F14" s="38">
        <f t="shared" si="1"/>
        <v>1.0019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IFERROR(VLOOKUP(A15,[4]Zachodniopomorski!$A$7:$D$100,4,FALSE),0)</f>
        <v>82479</v>
      </c>
      <c r="D15" s="13">
        <f t="shared" si="2"/>
        <v>82479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IFERROR(VLOOKUP(A16,[4]Zachodniopomorski!$A$7:$D$100,4,FALSE),0)</f>
        <v>52376</v>
      </c>
      <c r="D16" s="13">
        <f t="shared" si="2"/>
        <v>52376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IFERROR(VLOOKUP(A17,[4]Zachodniopomorski!$A$7:$D$100,4,FALSE),0)</f>
        <v>18761</v>
      </c>
      <c r="D17" s="13">
        <f t="shared" si="2"/>
        <v>18761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IFERROR(VLOOKUP(A18,[4]Zachodniopomorski!$A$7:$D$100,4,FALSE),0)</f>
        <v>85954</v>
      </c>
      <c r="D18" s="13">
        <f t="shared" si="2"/>
        <v>85954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IFERROR(VLOOKUP(A19,[4]Zachodniopomorski!$A$7:$D$100,4,FALSE),0)</f>
        <v>29770</v>
      </c>
      <c r="D19" s="13">
        <f t="shared" si="2"/>
        <v>29770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IFERROR(VLOOKUP(A20,[4]Zachodniopomorski!$A$7:$D$100,4,FALSE),0)</f>
        <v>2528</v>
      </c>
      <c r="D20" s="13">
        <f t="shared" si="2"/>
        <v>2528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IFERROR(VLOOKUP(A21,[4]Zachodniopomorski!$A$7:$D$100,4,FALSE),0)</f>
        <v>10433</v>
      </c>
      <c r="D21" s="13">
        <f t="shared" si="2"/>
        <v>10433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IFERROR(VLOOKUP(A22,[4]Zachodniopomorski!$A$7:$D$100,4,FALSE),0)</f>
        <v>128093</v>
      </c>
      <c r="D22" s="13">
        <f>C22+1000</f>
        <v>129093</v>
      </c>
      <c r="E22" s="37">
        <f t="shared" si="0"/>
        <v>1000</v>
      </c>
      <c r="F22" s="38">
        <f t="shared" si="1"/>
        <v>1.0078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IFERROR(VLOOKUP(A23,[4]Zachodniopomorski!$A$7:$D$100,4,FALSE),0)</f>
        <v>44000</v>
      </c>
      <c r="D23" s="13">
        <f>C23+5662</f>
        <v>49662</v>
      </c>
      <c r="E23" s="37">
        <f t="shared" si="0"/>
        <v>5662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IFERROR(VLOOKUP(A24,[4]Zachodniopomorski!$A$7:$D$100,4,FALSE),0)</f>
        <v>381398</v>
      </c>
      <c r="D24" s="13">
        <f t="shared" si="2"/>
        <v>381398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IFERROR(VLOOKUP(A25,[4]Zachodniopomorski!$A$7:$D$100,4,FALSE),0)</f>
        <v>380601</v>
      </c>
      <c r="D25" s="13">
        <f t="shared" si="2"/>
        <v>380601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IFERROR(VLOOKUP(A26,[4]Zachodniopomorski!$A$7:$D$100,4,FALSE),0)</f>
        <v>430</v>
      </c>
      <c r="D26" s="13">
        <f t="shared" si="2"/>
        <v>430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IFERROR(VLOOKUP(A27,[4]Zachodniopomorski!$A$7:$D$100,4,FALSE),0)</f>
        <v>367</v>
      </c>
      <c r="D27" s="13">
        <f t="shared" si="2"/>
        <v>367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IFERROR(VLOOKUP(A28,[4]Zachodniopomorski!$A$7:$D$100,4,FALSE),0)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IFERROR(VLOOKUP(A29,[4]Zachodniopomorski!$A$7:$D$100,4,FALSE),0)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IFERROR(VLOOKUP(A30,[4]Zachodniopomorski!$A$7:$D$100,4,FALSE),0)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IFERROR(VLOOKUP(A31,[4]Zachodniopomorski!$A$7:$D$100,4,FALSE),0)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IFERROR(VLOOKUP(A32,[4]Zachodniopomorski!$A$7:$D$100,4,FALSE),0)</f>
        <v>12036</v>
      </c>
      <c r="D32" s="13">
        <f t="shared" si="2"/>
        <v>12036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IFERROR(VLOOKUP(A33,[4]Zachodniopomorski!$A$7:$D$100,4,FALSE),0)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IFERROR(VLOOKUP(A34,[4]Zachodniopomorski!$A$7:$D$100,4,FALSE),0)</f>
        <v>2000</v>
      </c>
      <c r="D34" s="13">
        <f t="shared" si="2"/>
        <v>2000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IFERROR(VLOOKUP(A35,[4]Zachodniopomorski!$A$7:$D$100,4,FALSE),0)</f>
        <v>1070</v>
      </c>
      <c r="D35" s="13">
        <f>C35</f>
        <v>1070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IFERROR(VLOOKUP(A36,[4]Zachodniopomorski!$A$7:$D$100,4,FALSE),0)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IFERROR(VLOOKUP(A37,[4]Zachodniopomorski!$A$7:$D$100,4,FALSE),0)</f>
        <v>106859</v>
      </c>
      <c r="D37" s="36">
        <f>C37</f>
        <v>106859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IFERROR(VLOOKUP(A38,[4]Zachodniopomorski!$A$7:$D$100,4,FALSE),0)</f>
        <v>26238</v>
      </c>
      <c r="D38" s="36">
        <f>C38</f>
        <v>26238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531098</v>
      </c>
      <c r="D39" s="31">
        <f>D11+D13+D24+D30</f>
        <v>531098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22645</v>
      </c>
      <c r="D40" s="70">
        <f>D41+D42+D43+D51+D53+D59+D60+D58</f>
        <v>22645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IFERROR(VLOOKUP(A41,[4]Zachodniopomorski!$A$7:$D$100,4,FALSE),0)</f>
        <v>829</v>
      </c>
      <c r="D41" s="32">
        <f>C41</f>
        <v>829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IFERROR(VLOOKUP(A42,[4]Zachodniopomorski!$A$7:$D$100,4,FALSE),0)</f>
        <v>2970</v>
      </c>
      <c r="D42" s="32">
        <f t="shared" ref="D42:D60" si="3">C42</f>
        <v>2970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231</v>
      </c>
      <c r="D43" s="32">
        <f>D44+D46+D47+D48+D49+D50</f>
        <v>231</v>
      </c>
      <c r="E43" s="37" t="str">
        <f t="shared" si="0"/>
        <v>-</v>
      </c>
      <c r="F43" s="38">
        <f t="shared" si="1"/>
        <v>1</v>
      </c>
    </row>
    <row r="44" spans="1:6" ht="23.25" customHeight="1" x14ac:dyDescent="0.2">
      <c r="A44" s="97" t="s">
        <v>37</v>
      </c>
      <c r="B44" s="45" t="s">
        <v>30</v>
      </c>
      <c r="C44" s="30">
        <f>IFERROR(VLOOKUP(A44,[4]Zachodniopomorski!$A$7:$D$100,4,FALSE),0)</f>
        <v>26</v>
      </c>
      <c r="D44" s="32">
        <f t="shared" si="3"/>
        <v>26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IFERROR(VLOOKUP(A45,[4]Zachodniopomorski!$A$7:$D$100,4,FALSE),0)</f>
        <v>26</v>
      </c>
      <c r="D45" s="32">
        <f t="shared" si="3"/>
        <v>26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IFERROR(VLOOKUP(A46,[4]Zachodniopomorski!$A$7:$D$100,4,FALSE),0)</f>
        <v>24</v>
      </c>
      <c r="D46" s="32">
        <f t="shared" si="3"/>
        <v>24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IFERROR(VLOOKUP(A47,[4]Zachodniopomorski!$A$7:$D$100,4,FALSE),0)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IFERROR(VLOOKUP(A48,[4]Zachodniopomorski!$A$7:$D$100,4,FALSE),0)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IFERROR(VLOOKUP(A49,[4]Zachodniopomorski!$A$7:$D$100,4,FALSE),0)</f>
        <v>140</v>
      </c>
      <c r="D49" s="32">
        <f t="shared" si="3"/>
        <v>140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IFERROR(VLOOKUP(A50,[4]Zachodniopomorski!$A$7:$D$100,4,FALSE),0)</f>
        <v>41</v>
      </c>
      <c r="D50" s="32">
        <f t="shared" si="3"/>
        <v>41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IFERROR(VLOOKUP(A51,[4]Zachodniopomorski!$A$7:$D$100,4,FALSE),0)</f>
        <v>14250</v>
      </c>
      <c r="D51" s="32">
        <f t="shared" si="3"/>
        <v>14250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IFERROR(VLOOKUP(A52,[4]Zachodniopomorski!$A$7:$D$100,4,FALSE),0)</f>
        <v>57</v>
      </c>
      <c r="D52" s="32">
        <f t="shared" si="3"/>
        <v>57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3195</v>
      </c>
      <c r="D53" s="28">
        <f>D54+D55+D56+D57</f>
        <v>3195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IFERROR(VLOOKUP(A54,[4]Zachodniopomorski!$A$7:$D$100,4,FALSE),0)</f>
        <v>2445</v>
      </c>
      <c r="D54" s="32">
        <f t="shared" si="3"/>
        <v>2445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IFERROR(VLOOKUP(A55,[4]Zachodniopomorski!$A$7:$D$100,4,FALSE),0)</f>
        <v>349</v>
      </c>
      <c r="D55" s="32">
        <f t="shared" si="3"/>
        <v>349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IFERROR(VLOOKUP(A56,[4]Zachodniopomorski!$A$7:$D$100,4,FALSE),0)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IFERROR(VLOOKUP(A57,[4]Zachodniopomorski!$A$7:$D$100,4,FALSE),0)</f>
        <v>401</v>
      </c>
      <c r="D57" s="32">
        <f t="shared" si="3"/>
        <v>401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IFERROR(VLOOKUP(A58,[4]Zachodniopomorski!$A$7:$D$100,4,FALSE),0)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IFERROR(VLOOKUP(A59,[4]Zachodniopomorski!$A$7:$D$100,4,FALSE),0)</f>
        <v>1020</v>
      </c>
      <c r="D59" s="32">
        <f t="shared" si="3"/>
        <v>1020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IFERROR(VLOOKUP(A60,[4]Zachodniopomorski!$A$7:$D$100,4,FALSE),0)</f>
        <v>150</v>
      </c>
      <c r="D60" s="32">
        <f t="shared" si="3"/>
        <v>150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237</v>
      </c>
      <c r="D61" s="86">
        <f>D62+D63+D64+D65</f>
        <v>706</v>
      </c>
      <c r="E61" s="67">
        <f t="shared" si="0"/>
        <v>469</v>
      </c>
      <c r="F61" s="87">
        <f t="shared" si="1"/>
        <v>2.9788999999999999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IFERROR(VLOOKUP(A62,[4]Zachodniopomorski!$A$7:$D$100,4,FALSE),0)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IFERROR(VLOOKUP(A63,[4]Zachodniopomorski!$A$7:$D$100,4,FALSE),0)</f>
        <v>0</v>
      </c>
      <c r="D63" s="32">
        <f>C63</f>
        <v>0</v>
      </c>
      <c r="E63" s="28" t="str">
        <f t="shared" si="0"/>
        <v>-</v>
      </c>
      <c r="F63" s="38" t="str">
        <f t="shared" si="1"/>
        <v>-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IFERROR(VLOOKUP(A64,[4]Zachodniopomorski!$A$7:$D$100,4,FALSE),0)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IFERROR(VLOOKUP(A65,[4]Zachodniopomorski!$A$7:$D$100,4,FALSE),0)</f>
        <v>237</v>
      </c>
      <c r="D65" s="32">
        <f>C65+469</f>
        <v>706</v>
      </c>
      <c r="E65" s="28">
        <f t="shared" si="0"/>
        <v>469</v>
      </c>
      <c r="F65" s="38">
        <f t="shared" si="1"/>
        <v>2.9788999999999999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IFERROR(VLOOKUP(A66,[4]Zachodniopomorski!$A$7:$D$100,4,FALSE),0)</f>
        <v>66</v>
      </c>
      <c r="D66" s="86">
        <f>C66-6</f>
        <v>60</v>
      </c>
      <c r="E66" s="67">
        <f t="shared" si="0"/>
        <v>-6</v>
      </c>
      <c r="F66" s="87">
        <f t="shared" si="1"/>
        <v>0.90910000000000002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zoomScale="55" zoomScaleNormal="70" zoomScaleSheetLayoutView="55" workbookViewId="0">
      <pane xSplit="2" ySplit="6" topLeftCell="C28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7" width="9.140625" style="1"/>
    <col min="8" max="8" width="2.42578125" style="1" bestFit="1" customWidth="1"/>
    <col min="9" max="16384" width="9.140625" style="1"/>
  </cols>
  <sheetData>
    <row r="1" spans="1:9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9" s="22" customFormat="1" ht="33" customHeight="1" x14ac:dyDescent="0.2">
      <c r="A2" s="53" t="s">
        <v>165</v>
      </c>
      <c r="B2" s="53"/>
      <c r="C2" s="54"/>
    </row>
    <row r="3" spans="1:9" ht="33" customHeight="1" x14ac:dyDescent="0.25">
      <c r="A3" s="89"/>
      <c r="B3" s="5"/>
      <c r="C3" s="34"/>
      <c r="D3" s="34"/>
      <c r="E3" s="34" t="s">
        <v>138</v>
      </c>
      <c r="F3" s="6"/>
    </row>
    <row r="4" spans="1:9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9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9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1073389</v>
      </c>
      <c r="D6" s="82">
        <f>D7+D8+D9+D14+D15+D16+D17+D18+D19+D20+D21+D22+D23+D24+D28+D29+D31+D32+D33+D34+D35</f>
        <v>743390</v>
      </c>
      <c r="E6" s="67">
        <f>IF(C6=D6,"-",D6-C6)</f>
        <v>-329999</v>
      </c>
      <c r="F6" s="83">
        <f>IF(C6=0,"-",D6/C6)</f>
        <v>0.69299999999999995</v>
      </c>
      <c r="I6" s="33"/>
    </row>
    <row r="7" spans="1:9" ht="33" customHeight="1" x14ac:dyDescent="0.2">
      <c r="A7" s="91" t="s">
        <v>1</v>
      </c>
      <c r="B7" s="14" t="s">
        <v>116</v>
      </c>
      <c r="C7" s="30">
        <f>IFERROR(VLOOKUP(A7,[4]CENTRALA!$A$7:$D$100,4,FALSE),0)</f>
        <v>0</v>
      </c>
      <c r="D7" s="13">
        <f>C7</f>
        <v>0</v>
      </c>
      <c r="E7" s="37" t="str">
        <f t="shared" ref="E7:E66" si="0">IF(C7=D7,"-",D7-C7)</f>
        <v>-</v>
      </c>
      <c r="F7" s="38" t="str">
        <f t="shared" ref="F7:F66" si="1">IF(C7=0,"-",D7/C7)</f>
        <v>-</v>
      </c>
      <c r="I7" s="33"/>
    </row>
    <row r="8" spans="1:9" ht="33" customHeight="1" x14ac:dyDescent="0.2">
      <c r="A8" s="91" t="s">
        <v>2</v>
      </c>
      <c r="B8" s="14" t="s">
        <v>117</v>
      </c>
      <c r="C8" s="30">
        <f>IFERROR(VLOOKUP(A8,[4]CENTRALA!$A$7:$D$100,4,FALSE),0)</f>
        <v>0</v>
      </c>
      <c r="D8" s="13">
        <f>C8</f>
        <v>0</v>
      </c>
      <c r="E8" s="37" t="str">
        <f t="shared" si="0"/>
        <v>-</v>
      </c>
      <c r="F8" s="38" t="str">
        <f t="shared" si="1"/>
        <v>-</v>
      </c>
      <c r="I8" s="33"/>
    </row>
    <row r="9" spans="1:9" ht="33" customHeight="1" x14ac:dyDescent="0.2">
      <c r="A9" s="91" t="s">
        <v>3</v>
      </c>
      <c r="B9" s="14" t="s">
        <v>114</v>
      </c>
      <c r="C9" s="30">
        <f>IFERROR(VLOOKUP(A9,[4]CENTRALA!$A$7:$D$100,4,FALSE),0)</f>
        <v>0</v>
      </c>
      <c r="D9" s="13">
        <f t="shared" ref="D9:D34" si="2">C9</f>
        <v>0</v>
      </c>
      <c r="E9" s="37" t="str">
        <f t="shared" si="0"/>
        <v>-</v>
      </c>
      <c r="F9" s="38" t="str">
        <f t="shared" si="1"/>
        <v>-</v>
      </c>
      <c r="I9" s="33"/>
    </row>
    <row r="10" spans="1:9" ht="31.5" customHeight="1" x14ac:dyDescent="0.2">
      <c r="A10" s="92" t="s">
        <v>54</v>
      </c>
      <c r="B10" s="44" t="s">
        <v>199</v>
      </c>
      <c r="C10" s="30">
        <f>IFERROR(VLOOKUP(A10,[4]CENTRALA!$A$7:$D$100,4,FALSE),0)</f>
        <v>0</v>
      </c>
      <c r="D10" s="13">
        <f t="shared" si="2"/>
        <v>0</v>
      </c>
      <c r="E10" s="37" t="str">
        <f t="shared" si="0"/>
        <v>-</v>
      </c>
      <c r="F10" s="38" t="str">
        <f t="shared" si="1"/>
        <v>-</v>
      </c>
      <c r="I10" s="33"/>
    </row>
    <row r="11" spans="1:9" ht="31.5" customHeight="1" x14ac:dyDescent="0.2">
      <c r="A11" s="92" t="s">
        <v>139</v>
      </c>
      <c r="B11" s="44" t="s">
        <v>142</v>
      </c>
      <c r="C11" s="30">
        <f>IFERROR(VLOOKUP(A11,[4]CENTRALA!$A$7:$D$100,4,FALSE),0)</f>
        <v>0</v>
      </c>
      <c r="D11" s="13">
        <f t="shared" si="2"/>
        <v>0</v>
      </c>
      <c r="E11" s="37" t="str">
        <f t="shared" si="0"/>
        <v>-</v>
      </c>
      <c r="F11" s="38" t="str">
        <f t="shared" si="1"/>
        <v>-</v>
      </c>
      <c r="I11" s="33"/>
    </row>
    <row r="12" spans="1:9" ht="31.5" customHeight="1" x14ac:dyDescent="0.2">
      <c r="A12" s="92" t="s">
        <v>140</v>
      </c>
      <c r="B12" s="44" t="s">
        <v>143</v>
      </c>
      <c r="C12" s="30">
        <f>IFERROR(VLOOKUP(A12,[4]CENTRALA!$A$7:$D$100,4,FALSE),0)</f>
        <v>0</v>
      </c>
      <c r="D12" s="13">
        <f t="shared" si="2"/>
        <v>0</v>
      </c>
      <c r="E12" s="37" t="str">
        <f t="shared" si="0"/>
        <v>-</v>
      </c>
      <c r="F12" s="38" t="str">
        <f t="shared" si="1"/>
        <v>-</v>
      </c>
      <c r="I12" s="33"/>
    </row>
    <row r="13" spans="1:9" ht="31.5" customHeight="1" x14ac:dyDescent="0.2">
      <c r="A13" s="92" t="s">
        <v>141</v>
      </c>
      <c r="B13" s="44" t="s">
        <v>144</v>
      </c>
      <c r="C13" s="30">
        <f>IFERROR(VLOOKUP(A13,[4]CENTRALA!$A$7:$D$100,4,FALSE),0)</f>
        <v>0</v>
      </c>
      <c r="D13" s="13">
        <f t="shared" si="2"/>
        <v>0</v>
      </c>
      <c r="E13" s="37" t="str">
        <f t="shared" si="0"/>
        <v>-</v>
      </c>
      <c r="F13" s="38" t="str">
        <f t="shared" si="1"/>
        <v>-</v>
      </c>
      <c r="I13" s="33"/>
    </row>
    <row r="14" spans="1:9" ht="33" customHeight="1" x14ac:dyDescent="0.2">
      <c r="A14" s="91" t="s">
        <v>4</v>
      </c>
      <c r="B14" s="14" t="s">
        <v>122</v>
      </c>
      <c r="C14" s="30">
        <f>IFERROR(VLOOKUP(A14,[4]CENTRALA!$A$7:$D$100,4,FALSE),0)</f>
        <v>0</v>
      </c>
      <c r="D14" s="13">
        <f t="shared" si="2"/>
        <v>0</v>
      </c>
      <c r="E14" s="37" t="str">
        <f t="shared" si="0"/>
        <v>-</v>
      </c>
      <c r="F14" s="38" t="str">
        <f t="shared" si="1"/>
        <v>-</v>
      </c>
      <c r="I14" s="33"/>
    </row>
    <row r="15" spans="1:9" ht="33" customHeight="1" x14ac:dyDescent="0.2">
      <c r="A15" s="91" t="s">
        <v>5</v>
      </c>
      <c r="B15" s="14" t="s">
        <v>118</v>
      </c>
      <c r="C15" s="30">
        <f>IFERROR(VLOOKUP(A15,[4]CENTRALA!$A$7:$D$100,4,FALSE),0)</f>
        <v>0</v>
      </c>
      <c r="D15" s="13">
        <f t="shared" si="2"/>
        <v>0</v>
      </c>
      <c r="E15" s="37" t="str">
        <f t="shared" si="0"/>
        <v>-</v>
      </c>
      <c r="F15" s="38" t="str">
        <f t="shared" si="1"/>
        <v>-</v>
      </c>
      <c r="I15" s="33"/>
    </row>
    <row r="16" spans="1:9" ht="33" customHeight="1" x14ac:dyDescent="0.2">
      <c r="A16" s="91" t="s">
        <v>6</v>
      </c>
      <c r="B16" s="14" t="s">
        <v>124</v>
      </c>
      <c r="C16" s="30">
        <f>IFERROR(VLOOKUP(A16,[4]CENTRALA!$A$7:$D$100,4,FALSE),0)</f>
        <v>0</v>
      </c>
      <c r="D16" s="13">
        <f t="shared" si="2"/>
        <v>0</v>
      </c>
      <c r="E16" s="37" t="str">
        <f t="shared" si="0"/>
        <v>-</v>
      </c>
      <c r="F16" s="38" t="str">
        <f t="shared" si="1"/>
        <v>-</v>
      </c>
      <c r="I16" s="33"/>
    </row>
    <row r="17" spans="1:9" ht="33" customHeight="1" x14ac:dyDescent="0.2">
      <c r="A17" s="91" t="s">
        <v>7</v>
      </c>
      <c r="B17" s="14" t="s">
        <v>123</v>
      </c>
      <c r="C17" s="30">
        <f>IFERROR(VLOOKUP(A17,[4]CENTRALA!$A$7:$D$100,4,FALSE),0)</f>
        <v>0</v>
      </c>
      <c r="D17" s="13">
        <f t="shared" si="2"/>
        <v>0</v>
      </c>
      <c r="E17" s="37" t="str">
        <f t="shared" si="0"/>
        <v>-</v>
      </c>
      <c r="F17" s="38" t="str">
        <f t="shared" si="1"/>
        <v>-</v>
      </c>
      <c r="I17" s="33"/>
    </row>
    <row r="18" spans="1:9" ht="33" customHeight="1" x14ac:dyDescent="0.2">
      <c r="A18" s="91" t="s">
        <v>8</v>
      </c>
      <c r="B18" s="14" t="s">
        <v>119</v>
      </c>
      <c r="C18" s="30">
        <f>IFERROR(VLOOKUP(A18,[4]CENTRALA!$A$7:$D$100,4,FALSE),0)</f>
        <v>0</v>
      </c>
      <c r="D18" s="13">
        <f t="shared" si="2"/>
        <v>0</v>
      </c>
      <c r="E18" s="37" t="str">
        <f t="shared" si="0"/>
        <v>-</v>
      </c>
      <c r="F18" s="38" t="str">
        <f t="shared" si="1"/>
        <v>-</v>
      </c>
      <c r="I18" s="33"/>
    </row>
    <row r="19" spans="1:9" ht="33" customHeight="1" x14ac:dyDescent="0.2">
      <c r="A19" s="91" t="s">
        <v>9</v>
      </c>
      <c r="B19" s="14" t="s">
        <v>120</v>
      </c>
      <c r="C19" s="30">
        <f>IFERROR(VLOOKUP(A19,[4]CENTRALA!$A$7:$D$100,4,FALSE),0)</f>
        <v>0</v>
      </c>
      <c r="D19" s="13">
        <f t="shared" si="2"/>
        <v>0</v>
      </c>
      <c r="E19" s="37" t="str">
        <f t="shared" si="0"/>
        <v>-</v>
      </c>
      <c r="F19" s="38" t="str">
        <f t="shared" si="1"/>
        <v>-</v>
      </c>
      <c r="I19" s="33"/>
    </row>
    <row r="20" spans="1:9" ht="33" customHeight="1" x14ac:dyDescent="0.2">
      <c r="A20" s="91" t="s">
        <v>10</v>
      </c>
      <c r="B20" s="14" t="s">
        <v>125</v>
      </c>
      <c r="C20" s="30">
        <f>IFERROR(VLOOKUP(A20,[4]CENTRALA!$A$7:$D$100,4,FALSE),0)</f>
        <v>0</v>
      </c>
      <c r="D20" s="13">
        <f t="shared" si="2"/>
        <v>0</v>
      </c>
      <c r="E20" s="37" t="str">
        <f t="shared" si="0"/>
        <v>-</v>
      </c>
      <c r="F20" s="38" t="str">
        <f t="shared" si="1"/>
        <v>-</v>
      </c>
      <c r="I20" s="33"/>
    </row>
    <row r="21" spans="1:9" ht="46.5" customHeight="1" x14ac:dyDescent="0.2">
      <c r="A21" s="91" t="s">
        <v>11</v>
      </c>
      <c r="B21" s="14" t="s">
        <v>121</v>
      </c>
      <c r="C21" s="30">
        <f>IFERROR(VLOOKUP(A21,[4]CENTRALA!$A$7:$D$100,4,FALSE),0)</f>
        <v>0</v>
      </c>
      <c r="D21" s="13">
        <f t="shared" si="2"/>
        <v>0</v>
      </c>
      <c r="E21" s="37" t="str">
        <f t="shared" si="0"/>
        <v>-</v>
      </c>
      <c r="F21" s="38" t="str">
        <f t="shared" si="1"/>
        <v>-</v>
      </c>
      <c r="I21" s="33"/>
    </row>
    <row r="22" spans="1:9" ht="33" customHeight="1" x14ac:dyDescent="0.2">
      <c r="A22" s="91" t="s">
        <v>12</v>
      </c>
      <c r="B22" s="14" t="s">
        <v>161</v>
      </c>
      <c r="C22" s="30">
        <f>IFERROR(VLOOKUP(A22,[4]CENTRALA!$A$7:$D$100,4,FALSE),0)</f>
        <v>0</v>
      </c>
      <c r="D22" s="13">
        <f t="shared" si="2"/>
        <v>0</v>
      </c>
      <c r="E22" s="37" t="str">
        <f t="shared" si="0"/>
        <v>-</v>
      </c>
      <c r="F22" s="38" t="str">
        <f t="shared" si="1"/>
        <v>-</v>
      </c>
      <c r="I22" s="33"/>
    </row>
    <row r="23" spans="1:9" ht="33" customHeight="1" x14ac:dyDescent="0.2">
      <c r="A23" s="91" t="s">
        <v>13</v>
      </c>
      <c r="B23" s="14" t="s">
        <v>145</v>
      </c>
      <c r="C23" s="30">
        <f>IFERROR(VLOOKUP(A23,[4]CENTRALA!$A$7:$D$100,4,FALSE),0)</f>
        <v>0</v>
      </c>
      <c r="D23" s="13">
        <f t="shared" si="2"/>
        <v>0</v>
      </c>
      <c r="E23" s="37" t="str">
        <f t="shared" si="0"/>
        <v>-</v>
      </c>
      <c r="F23" s="38" t="str">
        <f t="shared" si="1"/>
        <v>-</v>
      </c>
      <c r="I23" s="33"/>
    </row>
    <row r="24" spans="1:9" ht="33" customHeight="1" x14ac:dyDescent="0.2">
      <c r="A24" s="93" t="s">
        <v>14</v>
      </c>
      <c r="B24" s="29" t="s">
        <v>177</v>
      </c>
      <c r="C24" s="30">
        <f>IFERROR(VLOOKUP(A24,[4]CENTRALA!$A$7:$D$100,4,FALSE),0)</f>
        <v>0</v>
      </c>
      <c r="D24" s="30">
        <f>SUM(D25:D27)</f>
        <v>0</v>
      </c>
      <c r="E24" s="37" t="str">
        <f t="shared" si="0"/>
        <v>-</v>
      </c>
      <c r="F24" s="38" t="str">
        <f t="shared" si="1"/>
        <v>-</v>
      </c>
      <c r="I24" s="33"/>
    </row>
    <row r="25" spans="1:9" ht="37.5" x14ac:dyDescent="0.2">
      <c r="A25" s="92" t="s">
        <v>126</v>
      </c>
      <c r="B25" s="44" t="s">
        <v>147</v>
      </c>
      <c r="C25" s="30">
        <f>IFERROR(VLOOKUP(A25,[4]CENTRALA!$A$7:$D$100,4,FALSE),0)</f>
        <v>0</v>
      </c>
      <c r="D25" s="13">
        <f t="shared" si="2"/>
        <v>0</v>
      </c>
      <c r="E25" s="37" t="str">
        <f t="shared" si="0"/>
        <v>-</v>
      </c>
      <c r="F25" s="38" t="str">
        <f t="shared" si="1"/>
        <v>-</v>
      </c>
      <c r="I25" s="33"/>
    </row>
    <row r="26" spans="1:9" ht="31.5" customHeight="1" x14ac:dyDescent="0.2">
      <c r="A26" s="92" t="s">
        <v>146</v>
      </c>
      <c r="B26" s="44" t="s">
        <v>149</v>
      </c>
      <c r="C26" s="30">
        <f>IFERROR(VLOOKUP(A26,[4]CENTRALA!$A$7:$D$100,4,FALSE),0)</f>
        <v>0</v>
      </c>
      <c r="D26" s="13">
        <f t="shared" si="2"/>
        <v>0</v>
      </c>
      <c r="E26" s="37" t="str">
        <f t="shared" si="0"/>
        <v>-</v>
      </c>
      <c r="F26" s="38" t="str">
        <f t="shared" si="1"/>
        <v>-</v>
      </c>
      <c r="I26" s="33"/>
    </row>
    <row r="27" spans="1:9" ht="37.5" x14ac:dyDescent="0.2">
      <c r="A27" s="92" t="s">
        <v>150</v>
      </c>
      <c r="B27" s="44" t="s">
        <v>148</v>
      </c>
      <c r="C27" s="30">
        <f>IFERROR(VLOOKUP(A27,[4]CENTRALA!$A$7:$D$100,4,FALSE),0)</f>
        <v>0</v>
      </c>
      <c r="D27" s="13">
        <f t="shared" si="2"/>
        <v>0</v>
      </c>
      <c r="E27" s="37" t="str">
        <f t="shared" si="0"/>
        <v>-</v>
      </c>
      <c r="F27" s="38" t="str">
        <f t="shared" si="1"/>
        <v>-</v>
      </c>
      <c r="I27" s="33"/>
    </row>
    <row r="28" spans="1:9" ht="33" customHeight="1" x14ac:dyDescent="0.2">
      <c r="A28" s="94" t="s">
        <v>15</v>
      </c>
      <c r="B28" s="15" t="s">
        <v>110</v>
      </c>
      <c r="C28" s="30">
        <f>IFERROR(VLOOKUP(A28,[4]CENTRALA!$A$7:$D$100,4,FALSE),0)</f>
        <v>668390</v>
      </c>
      <c r="D28" s="13">
        <f t="shared" si="2"/>
        <v>668390</v>
      </c>
      <c r="E28" s="37" t="str">
        <f t="shared" si="0"/>
        <v>-</v>
      </c>
      <c r="F28" s="38">
        <f t="shared" si="1"/>
        <v>1</v>
      </c>
      <c r="I28" s="33"/>
    </row>
    <row r="29" spans="1:9" ht="33" customHeight="1" x14ac:dyDescent="0.2">
      <c r="A29" s="94" t="s">
        <v>107</v>
      </c>
      <c r="B29" s="16" t="s">
        <v>151</v>
      </c>
      <c r="C29" s="30">
        <f>IFERROR(VLOOKUP(A29,[4]CENTRALA!$A$7:$D$100,4,FALSE),0)</f>
        <v>0</v>
      </c>
      <c r="D29" s="13">
        <f>C29</f>
        <v>0</v>
      </c>
      <c r="E29" s="37" t="str">
        <f t="shared" si="0"/>
        <v>-</v>
      </c>
      <c r="F29" s="38" t="str">
        <f t="shared" si="1"/>
        <v>-</v>
      </c>
      <c r="I29" s="33"/>
    </row>
    <row r="30" spans="1:9" ht="31.5" customHeight="1" x14ac:dyDescent="0.2">
      <c r="A30" s="92" t="s">
        <v>152</v>
      </c>
      <c r="B30" s="44" t="s">
        <v>163</v>
      </c>
      <c r="C30" s="30">
        <f>IFERROR(VLOOKUP(A30,[4]CENTRALA!$A$7:$D$100,4,FALSE),0)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  <c r="I30" s="33"/>
    </row>
    <row r="31" spans="1:9" ht="33" customHeight="1" x14ac:dyDescent="0.2">
      <c r="A31" s="94" t="s">
        <v>108</v>
      </c>
      <c r="B31" s="16" t="s">
        <v>111</v>
      </c>
      <c r="C31" s="30">
        <f>IFERROR(VLOOKUP(A31,[4]CENTRALA!$A$7:$D$100,4,FALSE),0)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  <c r="I31" s="33"/>
    </row>
    <row r="32" spans="1:9" ht="33" customHeight="1" x14ac:dyDescent="0.2">
      <c r="A32" s="94" t="s">
        <v>109</v>
      </c>
      <c r="B32" s="16" t="s">
        <v>162</v>
      </c>
      <c r="C32" s="30">
        <f>IFERROR(VLOOKUP(A32,[4]CENTRALA!$A$7:$D$100,4,FALSE),0)</f>
        <v>0</v>
      </c>
      <c r="D32" s="13">
        <f t="shared" si="2"/>
        <v>0</v>
      </c>
      <c r="E32" s="37" t="str">
        <f t="shared" si="0"/>
        <v>-</v>
      </c>
      <c r="F32" s="38" t="str">
        <f t="shared" si="1"/>
        <v>-</v>
      </c>
      <c r="I32" s="33"/>
    </row>
    <row r="33" spans="1:9" ht="42.75" customHeight="1" x14ac:dyDescent="0.2">
      <c r="A33" s="94" t="s">
        <v>178</v>
      </c>
      <c r="B33" s="16" t="s">
        <v>179</v>
      </c>
      <c r="C33" s="30">
        <f>IFERROR(VLOOKUP(A33,[4]CENTRALA!$A$7:$D$100,4,FALSE),0)</f>
        <v>404999</v>
      </c>
      <c r="D33" s="13">
        <f>C33-329999</f>
        <v>75000</v>
      </c>
      <c r="E33" s="37">
        <f>IF(C33=D33,"-",D33-C33)</f>
        <v>-329999</v>
      </c>
      <c r="F33" s="38">
        <f>IF(C33=0,"-",D33/C33)</f>
        <v>0.1852</v>
      </c>
      <c r="I33" s="33"/>
    </row>
    <row r="34" spans="1:9" ht="33" customHeight="1" x14ac:dyDescent="0.2">
      <c r="A34" s="94" t="s">
        <v>185</v>
      </c>
      <c r="B34" s="16" t="s">
        <v>186</v>
      </c>
      <c r="C34" s="30">
        <f>IFERROR(VLOOKUP(A34,[4]CENTRALA!$A$7:$D$100,4,FALSE),0)</f>
        <v>0</v>
      </c>
      <c r="D34" s="13">
        <f t="shared" si="2"/>
        <v>0</v>
      </c>
      <c r="E34" s="37" t="str">
        <f>IF(C34=D34,"-",D34-C34)</f>
        <v>-</v>
      </c>
      <c r="F34" s="38" t="str">
        <f>IF(C34=0,"-",D34/C34)</f>
        <v>-</v>
      </c>
      <c r="I34" s="33"/>
    </row>
    <row r="35" spans="1:9" ht="53.25" customHeight="1" x14ac:dyDescent="0.2">
      <c r="A35" s="94" t="s">
        <v>196</v>
      </c>
      <c r="B35" s="16" t="s">
        <v>197</v>
      </c>
      <c r="C35" s="30">
        <f>IFERROR(VLOOKUP(A35,[4]CENTRALA!$A$7:$D$100,4,FALSE),0)</f>
        <v>0</v>
      </c>
      <c r="D35" s="13">
        <f t="shared" ref="D35" si="3">C35</f>
        <v>0</v>
      </c>
      <c r="E35" s="37" t="str">
        <f>IF(C35=D35,"-",D35-C35)</f>
        <v>-</v>
      </c>
      <c r="F35" s="38" t="str">
        <f>IF(C35=0,"-",D35/C35)</f>
        <v>-</v>
      </c>
      <c r="I35" s="33"/>
    </row>
    <row r="36" spans="1:9" s="2" customFormat="1" ht="31.5" customHeight="1" x14ac:dyDescent="0.2">
      <c r="A36" s="95" t="s">
        <v>56</v>
      </c>
      <c r="B36" s="17" t="s">
        <v>57</v>
      </c>
      <c r="C36" s="31">
        <f>IFERROR(VLOOKUP(A36,[4]CENTRALA!$A$7:$D$100,4,FALSE),0)</f>
        <v>0</v>
      </c>
      <c r="D36" s="36">
        <f>C36</f>
        <v>0</v>
      </c>
      <c r="E36" s="7" t="str">
        <f t="shared" si="0"/>
        <v>-</v>
      </c>
      <c r="F36" s="39" t="str">
        <f t="shared" si="1"/>
        <v>-</v>
      </c>
      <c r="I36" s="33"/>
    </row>
    <row r="37" spans="1:9" s="2" customFormat="1" ht="31.5" customHeight="1" x14ac:dyDescent="0.2">
      <c r="A37" s="95" t="s">
        <v>55</v>
      </c>
      <c r="B37" s="17" t="s">
        <v>58</v>
      </c>
      <c r="C37" s="31">
        <f>IFERROR(VLOOKUP(A37,[4]CENTRALA!$A$7:$D$100,4,FALSE),0)</f>
        <v>0</v>
      </c>
      <c r="D37" s="36">
        <f>C37</f>
        <v>0</v>
      </c>
      <c r="E37" s="7" t="str">
        <f t="shared" si="0"/>
        <v>-</v>
      </c>
      <c r="F37" s="39" t="str">
        <f t="shared" si="1"/>
        <v>-</v>
      </c>
      <c r="I37" s="33"/>
    </row>
    <row r="38" spans="1:9" s="2" customFormat="1" ht="60.75" x14ac:dyDescent="0.2">
      <c r="A38" s="95" t="s">
        <v>187</v>
      </c>
      <c r="B38" s="17" t="s">
        <v>188</v>
      </c>
      <c r="C38" s="31">
        <f>IFERROR(VLOOKUP(A38,[4]CENTRALA!$A$7:$D$100,4,FALSE),0)</f>
        <v>0</v>
      </c>
      <c r="D38" s="36">
        <f>C38</f>
        <v>0</v>
      </c>
      <c r="E38" s="7" t="str">
        <f t="shared" si="0"/>
        <v>-</v>
      </c>
      <c r="F38" s="39" t="str">
        <f t="shared" si="1"/>
        <v>-</v>
      </c>
      <c r="I38" s="33"/>
    </row>
    <row r="39" spans="1:9" s="2" customFormat="1" ht="42.75" customHeight="1" x14ac:dyDescent="0.2">
      <c r="A39" s="95" t="s">
        <v>153</v>
      </c>
      <c r="B39" s="17" t="s">
        <v>154</v>
      </c>
      <c r="C39" s="31">
        <f>C11+C13+C24+C30</f>
        <v>0</v>
      </c>
      <c r="D39" s="31">
        <f>D11+D13+D24+D30</f>
        <v>0</v>
      </c>
      <c r="E39" s="7" t="str">
        <f t="shared" si="0"/>
        <v>-</v>
      </c>
      <c r="F39" s="39" t="str">
        <f t="shared" si="1"/>
        <v>-</v>
      </c>
      <c r="I39" s="33"/>
    </row>
    <row r="40" spans="1:9" ht="30" customHeight="1" x14ac:dyDescent="0.2">
      <c r="A40" s="96" t="s">
        <v>130</v>
      </c>
      <c r="B40" s="84" t="s">
        <v>183</v>
      </c>
      <c r="C40" s="70">
        <f>C41+C42+C43+C51+C53+C59+C60+C58</f>
        <v>253884</v>
      </c>
      <c r="D40" s="70">
        <f>D41+D42+D43+D51+D53+D59+D60+D58</f>
        <v>253884</v>
      </c>
      <c r="E40" s="67" t="str">
        <f t="shared" si="0"/>
        <v>-</v>
      </c>
      <c r="F40" s="85">
        <f t="shared" si="1"/>
        <v>1</v>
      </c>
      <c r="I40" s="33"/>
    </row>
    <row r="41" spans="1:9" ht="28.5" customHeight="1" x14ac:dyDescent="0.2">
      <c r="A41" s="94" t="s">
        <v>16</v>
      </c>
      <c r="B41" s="18" t="s">
        <v>17</v>
      </c>
      <c r="C41" s="30">
        <f>IFERROR(VLOOKUP(A41,[4]CENTRALA!$A$7:$D$100,4,FALSE),0)</f>
        <v>3688</v>
      </c>
      <c r="D41" s="32">
        <f>C41</f>
        <v>3688</v>
      </c>
      <c r="E41" s="37" t="str">
        <f t="shared" si="0"/>
        <v>-</v>
      </c>
      <c r="F41" s="38">
        <f t="shared" si="1"/>
        <v>1</v>
      </c>
      <c r="I41" s="33"/>
    </row>
    <row r="42" spans="1:9" ht="28.5" customHeight="1" x14ac:dyDescent="0.2">
      <c r="A42" s="94" t="s">
        <v>18</v>
      </c>
      <c r="B42" s="18" t="s">
        <v>19</v>
      </c>
      <c r="C42" s="30">
        <f>IFERROR(VLOOKUP(A42,[4]CENTRALA!$A$7:$D$100,4,FALSE),0)</f>
        <v>120484</v>
      </c>
      <c r="D42" s="32">
        <f t="shared" ref="D42:D60" si="4">C42</f>
        <v>120484</v>
      </c>
      <c r="E42" s="37" t="str">
        <f t="shared" si="0"/>
        <v>-</v>
      </c>
      <c r="F42" s="38">
        <f t="shared" si="1"/>
        <v>1</v>
      </c>
      <c r="I42" s="33"/>
    </row>
    <row r="43" spans="1:9" ht="28.5" customHeight="1" x14ac:dyDescent="0.2">
      <c r="A43" s="94" t="s">
        <v>20</v>
      </c>
      <c r="B43" s="19" t="s">
        <v>184</v>
      </c>
      <c r="C43" s="32">
        <f>C44+C46+C47+C48+C49+C50</f>
        <v>1024</v>
      </c>
      <c r="D43" s="32">
        <f>D44+D46+D47+D48+D49+D50</f>
        <v>1024</v>
      </c>
      <c r="E43" s="37" t="str">
        <f t="shared" si="0"/>
        <v>-</v>
      </c>
      <c r="F43" s="38">
        <f t="shared" si="1"/>
        <v>1</v>
      </c>
      <c r="I43" s="33"/>
    </row>
    <row r="44" spans="1:9" ht="28.5" customHeight="1" x14ac:dyDescent="0.2">
      <c r="A44" s="97" t="s">
        <v>37</v>
      </c>
      <c r="B44" s="45" t="s">
        <v>30</v>
      </c>
      <c r="C44" s="30">
        <f>IFERROR(VLOOKUP(A44,[4]CENTRALA!$A$7:$D$100,4,FALSE),0)</f>
        <v>100</v>
      </c>
      <c r="D44" s="32">
        <f t="shared" si="4"/>
        <v>100</v>
      </c>
      <c r="E44" s="37" t="str">
        <f t="shared" si="0"/>
        <v>-</v>
      </c>
      <c r="F44" s="38">
        <f t="shared" si="1"/>
        <v>1</v>
      </c>
      <c r="I44" s="33"/>
    </row>
    <row r="45" spans="1:9" ht="28.5" customHeight="1" x14ac:dyDescent="0.2">
      <c r="A45" s="97" t="s">
        <v>38</v>
      </c>
      <c r="B45" s="46" t="s">
        <v>31</v>
      </c>
      <c r="C45" s="30">
        <f>IFERROR(VLOOKUP(A45,[4]CENTRALA!$A$7:$D$100,4,FALSE),0)</f>
        <v>100</v>
      </c>
      <c r="D45" s="32">
        <f t="shared" si="4"/>
        <v>100</v>
      </c>
      <c r="E45" s="37" t="str">
        <f t="shared" si="0"/>
        <v>-</v>
      </c>
      <c r="F45" s="38">
        <f t="shared" si="1"/>
        <v>1</v>
      </c>
      <c r="I45" s="33"/>
    </row>
    <row r="46" spans="1:9" ht="28.5" customHeight="1" x14ac:dyDescent="0.2">
      <c r="A46" s="97" t="s">
        <v>39</v>
      </c>
      <c r="B46" s="45" t="s">
        <v>32</v>
      </c>
      <c r="C46" s="30">
        <f>IFERROR(VLOOKUP(A46,[4]CENTRALA!$A$7:$D$100,4,FALSE),0)</f>
        <v>94</v>
      </c>
      <c r="D46" s="32">
        <f t="shared" si="4"/>
        <v>94</v>
      </c>
      <c r="E46" s="37" t="str">
        <f t="shared" si="0"/>
        <v>-</v>
      </c>
      <c r="F46" s="38">
        <f t="shared" si="1"/>
        <v>1</v>
      </c>
      <c r="I46" s="33"/>
    </row>
    <row r="47" spans="1:9" ht="28.5" customHeight="1" x14ac:dyDescent="0.2">
      <c r="A47" s="97" t="s">
        <v>40</v>
      </c>
      <c r="B47" s="45" t="s">
        <v>33</v>
      </c>
      <c r="C47" s="30">
        <f>IFERROR(VLOOKUP(A47,[4]CENTRALA!$A$7:$D$100,4,FALSE),0)</f>
        <v>17</v>
      </c>
      <c r="D47" s="32">
        <f t="shared" si="4"/>
        <v>17</v>
      </c>
      <c r="E47" s="37" t="str">
        <f t="shared" si="0"/>
        <v>-</v>
      </c>
      <c r="F47" s="38">
        <f t="shared" si="1"/>
        <v>1</v>
      </c>
      <c r="I47" s="33"/>
    </row>
    <row r="48" spans="1:9" ht="28.5" customHeight="1" x14ac:dyDescent="0.2">
      <c r="A48" s="97" t="s">
        <v>41</v>
      </c>
      <c r="B48" s="45" t="s">
        <v>34</v>
      </c>
      <c r="C48" s="30">
        <f>IFERROR(VLOOKUP(A48,[4]CENTRALA!$A$7:$D$100,4,FALSE),0)</f>
        <v>0</v>
      </c>
      <c r="D48" s="32">
        <f t="shared" si="4"/>
        <v>0</v>
      </c>
      <c r="E48" s="37" t="str">
        <f t="shared" si="0"/>
        <v>-</v>
      </c>
      <c r="F48" s="38" t="str">
        <f t="shared" si="1"/>
        <v>-</v>
      </c>
      <c r="I48" s="33"/>
    </row>
    <row r="49" spans="1:9" ht="28.5" customHeight="1" x14ac:dyDescent="0.2">
      <c r="A49" s="97" t="s">
        <v>42</v>
      </c>
      <c r="B49" s="45" t="s">
        <v>35</v>
      </c>
      <c r="C49" s="30">
        <f>IFERROR(VLOOKUP(A49,[4]CENTRALA!$A$7:$D$100,4,FALSE),0)</f>
        <v>452</v>
      </c>
      <c r="D49" s="32">
        <f t="shared" si="4"/>
        <v>452</v>
      </c>
      <c r="E49" s="37" t="str">
        <f t="shared" si="0"/>
        <v>-</v>
      </c>
      <c r="F49" s="38">
        <f t="shared" si="1"/>
        <v>1</v>
      </c>
      <c r="I49" s="33"/>
    </row>
    <row r="50" spans="1:9" ht="28.5" customHeight="1" x14ac:dyDescent="0.2">
      <c r="A50" s="97" t="s">
        <v>43</v>
      </c>
      <c r="B50" s="45" t="s">
        <v>36</v>
      </c>
      <c r="C50" s="30">
        <f>IFERROR(VLOOKUP(A50,[4]CENTRALA!$A$7:$D$100,4,FALSE),0)</f>
        <v>361</v>
      </c>
      <c r="D50" s="32">
        <f t="shared" si="4"/>
        <v>361</v>
      </c>
      <c r="E50" s="37" t="str">
        <f t="shared" si="0"/>
        <v>-</v>
      </c>
      <c r="F50" s="38">
        <f t="shared" si="1"/>
        <v>1</v>
      </c>
      <c r="I50" s="33"/>
    </row>
    <row r="51" spans="1:9" ht="28.5" customHeight="1" x14ac:dyDescent="0.2">
      <c r="A51" s="94" t="s">
        <v>21</v>
      </c>
      <c r="B51" s="18" t="s">
        <v>155</v>
      </c>
      <c r="C51" s="30">
        <f>IFERROR(VLOOKUP(A51,[4]CENTRALA!$A$7:$D$100,4,FALSE),0)</f>
        <v>46643</v>
      </c>
      <c r="D51" s="32">
        <f t="shared" si="4"/>
        <v>46643</v>
      </c>
      <c r="E51" s="37" t="str">
        <f t="shared" si="0"/>
        <v>-</v>
      </c>
      <c r="F51" s="38">
        <f t="shared" si="1"/>
        <v>1</v>
      </c>
      <c r="I51" s="33"/>
    </row>
    <row r="52" spans="1:9" ht="28.5" customHeight="1" x14ac:dyDescent="0.2">
      <c r="A52" s="97" t="s">
        <v>156</v>
      </c>
      <c r="B52" s="45" t="s">
        <v>157</v>
      </c>
      <c r="C52" s="30">
        <f>IFERROR(VLOOKUP(A52,[4]CENTRALA!$A$7:$D$100,4,FALSE),0)</f>
        <v>423</v>
      </c>
      <c r="D52" s="32">
        <f t="shared" si="4"/>
        <v>423</v>
      </c>
      <c r="E52" s="37" t="str">
        <f t="shared" si="0"/>
        <v>-</v>
      </c>
      <c r="F52" s="38">
        <f t="shared" si="1"/>
        <v>1</v>
      </c>
      <c r="I52" s="33"/>
    </row>
    <row r="53" spans="1:9" ht="28.5" customHeight="1" x14ac:dyDescent="0.2">
      <c r="A53" s="94" t="s">
        <v>22</v>
      </c>
      <c r="B53" s="19" t="s">
        <v>182</v>
      </c>
      <c r="C53" s="28">
        <f>C54+C55+C56+C57</f>
        <v>11241</v>
      </c>
      <c r="D53" s="28">
        <f>D54+D55+D56+D57</f>
        <v>11241</v>
      </c>
      <c r="E53" s="37" t="str">
        <f t="shared" si="0"/>
        <v>-</v>
      </c>
      <c r="F53" s="38">
        <f t="shared" si="1"/>
        <v>1</v>
      </c>
      <c r="I53" s="33"/>
    </row>
    <row r="54" spans="1:9" ht="28.5" customHeight="1" x14ac:dyDescent="0.2">
      <c r="A54" s="97" t="s">
        <v>48</v>
      </c>
      <c r="B54" s="45" t="s">
        <v>44</v>
      </c>
      <c r="C54" s="30">
        <f>IFERROR(VLOOKUP(A54,[4]CENTRALA!$A$7:$D$100,4,FALSE),0)</f>
        <v>8018</v>
      </c>
      <c r="D54" s="32">
        <f t="shared" si="4"/>
        <v>8018</v>
      </c>
      <c r="E54" s="37" t="str">
        <f t="shared" si="0"/>
        <v>-</v>
      </c>
      <c r="F54" s="38">
        <f t="shared" si="1"/>
        <v>1</v>
      </c>
      <c r="I54" s="33"/>
    </row>
    <row r="55" spans="1:9" ht="28.5" customHeight="1" x14ac:dyDescent="0.2">
      <c r="A55" s="97" t="s">
        <v>49</v>
      </c>
      <c r="B55" s="45" t="s">
        <v>45</v>
      </c>
      <c r="C55" s="30">
        <f>IFERROR(VLOOKUP(A55,[4]CENTRALA!$A$7:$D$100,4,FALSE),0)</f>
        <v>1144</v>
      </c>
      <c r="D55" s="32">
        <f t="shared" si="4"/>
        <v>1144</v>
      </c>
      <c r="E55" s="37" t="str">
        <f t="shared" si="0"/>
        <v>-</v>
      </c>
      <c r="F55" s="38">
        <f t="shared" si="1"/>
        <v>1</v>
      </c>
      <c r="I55" s="33"/>
    </row>
    <row r="56" spans="1:9" ht="28.5" customHeight="1" x14ac:dyDescent="0.2">
      <c r="A56" s="97" t="s">
        <v>50</v>
      </c>
      <c r="B56" s="45" t="s">
        <v>46</v>
      </c>
      <c r="C56" s="30">
        <f>IFERROR(VLOOKUP(A56,[4]CENTRALA!$A$7:$D$100,4,FALSE),0)</f>
        <v>0</v>
      </c>
      <c r="D56" s="32">
        <f t="shared" si="4"/>
        <v>0</v>
      </c>
      <c r="E56" s="37" t="str">
        <f t="shared" si="0"/>
        <v>-</v>
      </c>
      <c r="F56" s="38" t="str">
        <f t="shared" si="1"/>
        <v>-</v>
      </c>
      <c r="I56" s="33"/>
    </row>
    <row r="57" spans="1:9" ht="28.5" customHeight="1" x14ac:dyDescent="0.2">
      <c r="A57" s="97" t="s">
        <v>51</v>
      </c>
      <c r="B57" s="45" t="s">
        <v>47</v>
      </c>
      <c r="C57" s="30">
        <f>IFERROR(VLOOKUP(A57,[4]CENTRALA!$A$7:$D$100,4,FALSE),0)</f>
        <v>2079</v>
      </c>
      <c r="D57" s="32">
        <f t="shared" si="4"/>
        <v>2079</v>
      </c>
      <c r="E57" s="37" t="str">
        <f t="shared" si="0"/>
        <v>-</v>
      </c>
      <c r="F57" s="38">
        <f t="shared" si="1"/>
        <v>1</v>
      </c>
      <c r="I57" s="33"/>
    </row>
    <row r="58" spans="1:9" ht="28.5" customHeight="1" x14ac:dyDescent="0.2">
      <c r="A58" s="94" t="s">
        <v>23</v>
      </c>
      <c r="B58" s="18" t="s">
        <v>24</v>
      </c>
      <c r="C58" s="30">
        <f>IFERROR(VLOOKUP(A58,[4]CENTRALA!$A$7:$D$100,4,FALSE),0)</f>
        <v>50</v>
      </c>
      <c r="D58" s="32">
        <f t="shared" si="4"/>
        <v>50</v>
      </c>
      <c r="E58" s="37" t="str">
        <f t="shared" si="0"/>
        <v>-</v>
      </c>
      <c r="F58" s="38">
        <f t="shared" si="1"/>
        <v>1</v>
      </c>
      <c r="I58" s="33"/>
    </row>
    <row r="59" spans="1:9" ht="28.5" customHeight="1" x14ac:dyDescent="0.2">
      <c r="A59" s="94" t="s">
        <v>25</v>
      </c>
      <c r="B59" s="18" t="s">
        <v>158</v>
      </c>
      <c r="C59" s="30">
        <f>IFERROR(VLOOKUP(A59,[4]CENTRALA!$A$7:$D$100,4,FALSE),0)</f>
        <v>68377</v>
      </c>
      <c r="D59" s="32">
        <f t="shared" si="4"/>
        <v>68377</v>
      </c>
      <c r="E59" s="37" t="str">
        <f t="shared" si="0"/>
        <v>-</v>
      </c>
      <c r="F59" s="40">
        <f t="shared" si="1"/>
        <v>1</v>
      </c>
      <c r="I59" s="33"/>
    </row>
    <row r="60" spans="1:9" ht="28.5" customHeight="1" x14ac:dyDescent="0.2">
      <c r="A60" s="94" t="s">
        <v>26</v>
      </c>
      <c r="B60" s="18" t="s">
        <v>27</v>
      </c>
      <c r="C60" s="30">
        <f>IFERROR(VLOOKUP(A60,[4]CENTRALA!$A$7:$D$100,4,FALSE),0)</f>
        <v>2377</v>
      </c>
      <c r="D60" s="32">
        <f t="shared" si="4"/>
        <v>2377</v>
      </c>
      <c r="E60" s="37" t="str">
        <f t="shared" si="0"/>
        <v>-</v>
      </c>
      <c r="F60" s="38">
        <f t="shared" si="1"/>
        <v>1</v>
      </c>
      <c r="I60" s="33"/>
    </row>
    <row r="61" spans="1:9" ht="30" customHeight="1" x14ac:dyDescent="0.2">
      <c r="A61" s="98" t="s">
        <v>132</v>
      </c>
      <c r="B61" s="76" t="s">
        <v>159</v>
      </c>
      <c r="C61" s="86">
        <f>C62+C63+C64+C65</f>
        <v>29017</v>
      </c>
      <c r="D61" s="86">
        <f>D62+D63+D64+D65</f>
        <v>48682</v>
      </c>
      <c r="E61" s="67">
        <f t="shared" si="0"/>
        <v>19665</v>
      </c>
      <c r="F61" s="87">
        <f t="shared" si="1"/>
        <v>1.6777</v>
      </c>
      <c r="I61" s="33"/>
    </row>
    <row r="62" spans="1:9" ht="42" customHeight="1" x14ac:dyDescent="0.2">
      <c r="A62" s="94" t="s">
        <v>99</v>
      </c>
      <c r="B62" s="18" t="s">
        <v>112</v>
      </c>
      <c r="C62" s="30">
        <f>IFERROR(VLOOKUP(A62,[4]CENTRALA!$A$7:$D$100,4,FALSE),0)</f>
        <v>875</v>
      </c>
      <c r="D62" s="32">
        <f>C62</f>
        <v>875</v>
      </c>
      <c r="E62" s="28" t="str">
        <f t="shared" si="0"/>
        <v>-</v>
      </c>
      <c r="F62" s="38">
        <f t="shared" si="1"/>
        <v>1</v>
      </c>
      <c r="I62" s="33"/>
    </row>
    <row r="63" spans="1:9" ht="31.5" customHeight="1" x14ac:dyDescent="0.2">
      <c r="A63" s="94" t="s">
        <v>28</v>
      </c>
      <c r="B63" s="18" t="s">
        <v>53</v>
      </c>
      <c r="C63" s="30">
        <f>IFERROR(VLOOKUP(A63,[4]CENTRALA!$A$7:$D$100,4,FALSE),0)</f>
        <v>1180</v>
      </c>
      <c r="D63" s="32">
        <f>C63</f>
        <v>1180</v>
      </c>
      <c r="E63" s="28" t="str">
        <f t="shared" si="0"/>
        <v>-</v>
      </c>
      <c r="F63" s="38">
        <f t="shared" si="1"/>
        <v>1</v>
      </c>
      <c r="I63" s="33"/>
    </row>
    <row r="64" spans="1:9" ht="31.5" customHeight="1" x14ac:dyDescent="0.2">
      <c r="A64" s="94" t="s">
        <v>29</v>
      </c>
      <c r="B64" s="18" t="s">
        <v>101</v>
      </c>
      <c r="C64" s="30">
        <f>IFERROR(VLOOKUP(A64,[4]CENTRALA!$A$7:$D$100,4,FALSE),0)</f>
        <v>21335</v>
      </c>
      <c r="D64" s="32">
        <f>C64-21335</f>
        <v>0</v>
      </c>
      <c r="E64" s="28">
        <f t="shared" si="0"/>
        <v>-21335</v>
      </c>
      <c r="F64" s="38">
        <f t="shared" si="1"/>
        <v>0</v>
      </c>
      <c r="I64" s="33"/>
    </row>
    <row r="65" spans="1:9" ht="31.5" customHeight="1" x14ac:dyDescent="0.2">
      <c r="A65" s="94" t="s">
        <v>100</v>
      </c>
      <c r="B65" s="18" t="s">
        <v>102</v>
      </c>
      <c r="C65" s="30">
        <f>IFERROR(VLOOKUP(A65,[4]CENTRALA!$A$7:$D$100,4,FALSE),0)</f>
        <v>5627</v>
      </c>
      <c r="D65" s="32">
        <f>C65+41000</f>
        <v>46627</v>
      </c>
      <c r="E65" s="28">
        <f t="shared" si="0"/>
        <v>41000</v>
      </c>
      <c r="F65" s="38">
        <f t="shared" si="1"/>
        <v>8.2863000000000007</v>
      </c>
      <c r="G65" s="1">
        <v>46627</v>
      </c>
      <c r="H65" s="33">
        <f>G65-D65</f>
        <v>0</v>
      </c>
      <c r="I65" s="33"/>
    </row>
    <row r="66" spans="1:9" ht="32.25" customHeight="1" x14ac:dyDescent="0.2">
      <c r="A66" s="98" t="s">
        <v>134</v>
      </c>
      <c r="B66" s="76" t="s">
        <v>113</v>
      </c>
      <c r="C66" s="86">
        <f>IFERROR(VLOOKUP(A66,[4]CENTRALA!$A$7:$D$100,4,FALSE),0)</f>
        <v>30182</v>
      </c>
      <c r="D66" s="86">
        <f>C66-10232</f>
        <v>19950</v>
      </c>
      <c r="E66" s="67">
        <f t="shared" si="0"/>
        <v>-10232</v>
      </c>
      <c r="F66" s="87">
        <f t="shared" si="1"/>
        <v>0.66100000000000003</v>
      </c>
      <c r="G66" s="1">
        <v>19950</v>
      </c>
      <c r="H66" s="33">
        <f>G66-D66</f>
        <v>0</v>
      </c>
      <c r="I66" s="33"/>
    </row>
    <row r="72" spans="1:9" x14ac:dyDescent="0.2">
      <c r="C72" s="33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view="pageBreakPreview" zoomScale="55" zoomScaleNormal="6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166</v>
      </c>
      <c r="B2" s="53"/>
      <c r="C2" s="53"/>
    </row>
    <row r="3" spans="1:6" ht="33" customHeight="1" x14ac:dyDescent="0.25">
      <c r="A3" s="89"/>
      <c r="B3" s="5"/>
      <c r="C3" s="34"/>
      <c r="D3" s="42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77806560</v>
      </c>
      <c r="D6" s="82">
        <f>D7+D8+D9+D14+D15+D16+D17+D18+D19+D20+D21+D22+D23+D24+D28+D29+D31+D32+D33+D34+D35</f>
        <v>78805966</v>
      </c>
      <c r="E6" s="67">
        <f>IF(C6=D6,"-",D6-C6)</f>
        <v>999406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Dolnośląski!C7+KujawskoPomorski!C7+Lubelski!C7+Lubuski!C7+Łódzki!C7+Małopolski!C7+Mazowiecki!C7+Opolski!C7+Podkarpacki!C7+Podlaski!C7+Pomorski!C7+Śląski!C7+Świętokrzyski!C7+WarmińskoMazurski!C7+Wielkopolski!C7+Zachodniopomorski!C7</f>
        <v>10557295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10557295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Dolnośląski!C8+KujawskoPomorski!C8+Lubelski!C8+Lubuski!C8+Łódzki!C8+Małopolski!C8+Mazowiecki!C8+Opolski!C8+Podkarpacki!C8+Podlaski!C8+Pomorski!C8+Śląski!C8+Świętokrzyski!C8+WarmińskoMazurski!C8+Wielkopolski!C8+Zachodniopomorski!C8</f>
        <v>4525818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4703627</v>
      </c>
      <c r="E8" s="37">
        <f t="shared" si="0"/>
        <v>177809</v>
      </c>
      <c r="F8" s="38">
        <f t="shared" si="1"/>
        <v>1.0392999999999999</v>
      </c>
    </row>
    <row r="9" spans="1:6" ht="33" customHeight="1" x14ac:dyDescent="0.2">
      <c r="A9" s="91" t="s">
        <v>3</v>
      </c>
      <c r="B9" s="14" t="s">
        <v>114</v>
      </c>
      <c r="C9" s="30">
        <f>Dolnośląski!C9+KujawskoPomorski!C9+Lubelski!C9+Lubuski!C9+Łódzki!C9+Małopolski!C9+Mazowiecki!C9+Opolski!C9+Podkarpacki!C9+Podlaski!C9+Pomorski!C9+Śląski!C9+Świętokrzyski!C9+WarmińskoMazurski!C9+Wielkopolski!C9+Zachodniopomorski!C9</f>
        <v>40401386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41055642</v>
      </c>
      <c r="E9" s="37">
        <f t="shared" si="0"/>
        <v>654256</v>
      </c>
      <c r="F9" s="38">
        <f t="shared" si="1"/>
        <v>1.0162</v>
      </c>
    </row>
    <row r="10" spans="1:6" ht="31.5" customHeight="1" x14ac:dyDescent="0.2">
      <c r="A10" s="92" t="s">
        <v>54</v>
      </c>
      <c r="B10" s="44" t="s">
        <v>199</v>
      </c>
      <c r="C10" s="30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3657717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3657717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3326562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3326562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1456690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1456690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689133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689133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2909944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2912690</v>
      </c>
      <c r="E14" s="37">
        <f t="shared" si="0"/>
        <v>2746</v>
      </c>
      <c r="F14" s="38">
        <f t="shared" si="1"/>
        <v>1.0008999999999999</v>
      </c>
    </row>
    <row r="15" spans="1:6" ht="33" customHeight="1" x14ac:dyDescent="0.2">
      <c r="A15" s="91" t="s">
        <v>5</v>
      </c>
      <c r="B15" s="14" t="s">
        <v>118</v>
      </c>
      <c r="C15" s="30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2401300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2402422</v>
      </c>
      <c r="E15" s="37">
        <f t="shared" si="0"/>
        <v>1122</v>
      </c>
      <c r="F15" s="38">
        <f t="shared" si="1"/>
        <v>1.0004999999999999</v>
      </c>
    </row>
    <row r="16" spans="1:6" ht="33" customHeight="1" x14ac:dyDescent="0.2">
      <c r="A16" s="91" t="s">
        <v>6</v>
      </c>
      <c r="B16" s="14" t="s">
        <v>124</v>
      </c>
      <c r="C16" s="30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1576715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1578544</v>
      </c>
      <c r="E16" s="37">
        <f t="shared" si="0"/>
        <v>1829</v>
      </c>
      <c r="F16" s="38">
        <f t="shared" si="1"/>
        <v>1.0012000000000001</v>
      </c>
    </row>
    <row r="17" spans="1:6" ht="33" customHeight="1" x14ac:dyDescent="0.2">
      <c r="A17" s="91" t="s">
        <v>7</v>
      </c>
      <c r="B17" s="14" t="s">
        <v>123</v>
      </c>
      <c r="C17" s="30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711703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713366</v>
      </c>
      <c r="E17" s="37">
        <f t="shared" si="0"/>
        <v>1663</v>
      </c>
      <c r="F17" s="38">
        <f t="shared" si="1"/>
        <v>1.0023</v>
      </c>
    </row>
    <row r="18" spans="1:6" ht="33" customHeight="1" x14ac:dyDescent="0.2">
      <c r="A18" s="91" t="s">
        <v>8</v>
      </c>
      <c r="B18" s="14" t="s">
        <v>119</v>
      </c>
      <c r="C18" s="30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1881920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1881920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686124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686748</v>
      </c>
      <c r="E19" s="37">
        <f t="shared" si="0"/>
        <v>624</v>
      </c>
      <c r="F19" s="38">
        <f t="shared" si="1"/>
        <v>1.0008999999999999</v>
      </c>
    </row>
    <row r="20" spans="1:6" ht="33" customHeight="1" x14ac:dyDescent="0.2">
      <c r="A20" s="91" t="s">
        <v>10</v>
      </c>
      <c r="B20" s="14" t="s">
        <v>125</v>
      </c>
      <c r="C20" s="30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51259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51259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200116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200116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2035317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2056174</v>
      </c>
      <c r="E22" s="37">
        <f t="shared" si="0"/>
        <v>20857</v>
      </c>
      <c r="F22" s="38">
        <f t="shared" si="1"/>
        <v>1.0102</v>
      </c>
    </row>
    <row r="23" spans="1:6" ht="33" customHeight="1" x14ac:dyDescent="0.2">
      <c r="A23" s="91" t="s">
        <v>13</v>
      </c>
      <c r="B23" s="14" t="s">
        <v>145</v>
      </c>
      <c r="C23" s="30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1066269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1204769</v>
      </c>
      <c r="E23" s="37">
        <f t="shared" si="0"/>
        <v>138500</v>
      </c>
      <c r="F23" s="38">
        <f t="shared" si="1"/>
        <v>1.1298999999999999</v>
      </c>
    </row>
    <row r="24" spans="1:6" ht="33" customHeight="1" x14ac:dyDescent="0.2">
      <c r="A24" s="93" t="s">
        <v>14</v>
      </c>
      <c r="B24" s="29" t="s">
        <v>177</v>
      </c>
      <c r="C24" s="30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8432076</v>
      </c>
      <c r="D24" s="30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8432076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8396696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8396696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21613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21613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13767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13767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3765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3765</v>
      </c>
      <c r="E29" s="37" t="str">
        <f t="shared" si="0"/>
        <v>-</v>
      </c>
      <c r="F29" s="38">
        <f t="shared" si="1"/>
        <v>1</v>
      </c>
    </row>
    <row r="30" spans="1:6" ht="31.5" customHeight="1" x14ac:dyDescent="0.2">
      <c r="A30" s="92" t="s">
        <v>152</v>
      </c>
      <c r="B30" s="44" t="s">
        <v>163</v>
      </c>
      <c r="C30" s="30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283921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283921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22077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22077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59555</v>
      </c>
      <c r="D35" s="13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59555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6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4790</v>
      </c>
      <c r="D36" s="36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4790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6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1938882</v>
      </c>
      <c r="D37" s="36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1938882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6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643300</v>
      </c>
      <c r="D38" s="36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643300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12447771</v>
      </c>
      <c r="D39" s="31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12447771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531970</v>
      </c>
      <c r="D40" s="70">
        <f>D41+D42+D43+D51+D53+D59+D60+D58</f>
        <v>531970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21393</v>
      </c>
      <c r="D41" s="32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21393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73668</v>
      </c>
      <c r="D42" s="32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73668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3991</v>
      </c>
      <c r="D43" s="32">
        <f>D44+D46+D47+D48+D49+D50</f>
        <v>3991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585</v>
      </c>
      <c r="D44" s="32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585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582</v>
      </c>
      <c r="D45" s="32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582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614</v>
      </c>
      <c r="D46" s="32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614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2</v>
      </c>
      <c r="D47" s="32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2</v>
      </c>
      <c r="E47" s="37" t="str">
        <f t="shared" si="0"/>
        <v>-</v>
      </c>
      <c r="F47" s="38">
        <f t="shared" si="1"/>
        <v>1</v>
      </c>
    </row>
    <row r="48" spans="1:6" ht="28.5" customHeight="1" x14ac:dyDescent="0.2">
      <c r="A48" s="97" t="s">
        <v>41</v>
      </c>
      <c r="B48" s="45" t="s">
        <v>34</v>
      </c>
      <c r="C48" s="30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0</v>
      </c>
      <c r="D48" s="32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2507</v>
      </c>
      <c r="D49" s="32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2507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283</v>
      </c>
      <c r="D50" s="32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283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311935</v>
      </c>
      <c r="D51" s="32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311935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1109</v>
      </c>
      <c r="D52" s="32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1109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69953</v>
      </c>
      <c r="D53" s="28">
        <f>D54+D55+D56+D57</f>
        <v>69953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53379</v>
      </c>
      <c r="D54" s="32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53379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7464</v>
      </c>
      <c r="D55" s="32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7464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0</v>
      </c>
      <c r="D56" s="32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9110</v>
      </c>
      <c r="D57" s="32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9110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0</v>
      </c>
      <c r="D58" s="32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46484</v>
      </c>
      <c r="D59" s="32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46484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4546</v>
      </c>
      <c r="D60" s="32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4546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227907</v>
      </c>
      <c r="D61" s="86">
        <f>D62+D63+D64+D65</f>
        <v>131363</v>
      </c>
      <c r="E61" s="67">
        <f t="shared" si="0"/>
        <v>-96544</v>
      </c>
      <c r="F61" s="87">
        <f t="shared" si="1"/>
        <v>0.57640000000000002</v>
      </c>
    </row>
    <row r="62" spans="1:6" ht="42" customHeight="1" x14ac:dyDescent="0.2">
      <c r="A62" s="94" t="s">
        <v>99</v>
      </c>
      <c r="B62" s="18" t="s">
        <v>112</v>
      </c>
      <c r="C62" s="30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407</v>
      </c>
      <c r="D62" s="32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357</v>
      </c>
      <c r="E62" s="28">
        <f t="shared" si="0"/>
        <v>-50</v>
      </c>
      <c r="F62" s="38">
        <f t="shared" si="1"/>
        <v>0.87709999999999999</v>
      </c>
    </row>
    <row r="63" spans="1:6" ht="31.5" customHeight="1" x14ac:dyDescent="0.2">
      <c r="A63" s="94" t="s">
        <v>28</v>
      </c>
      <c r="B63" s="18" t="s">
        <v>53</v>
      </c>
      <c r="C63" s="30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191158</v>
      </c>
      <c r="D63" s="32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96796</v>
      </c>
      <c r="E63" s="28">
        <f t="shared" si="0"/>
        <v>-94362</v>
      </c>
      <c r="F63" s="38">
        <f t="shared" si="1"/>
        <v>0.50639999999999996</v>
      </c>
    </row>
    <row r="64" spans="1:6" ht="31.5" customHeight="1" x14ac:dyDescent="0.2">
      <c r="A64" s="94" t="s">
        <v>29</v>
      </c>
      <c r="B64" s="18" t="s">
        <v>101</v>
      </c>
      <c r="C64" s="30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0</v>
      </c>
      <c r="D64" s="32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36342</v>
      </c>
      <c r="D65" s="32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34210</v>
      </c>
      <c r="E65" s="28">
        <f t="shared" si="0"/>
        <v>-2132</v>
      </c>
      <c r="F65" s="38">
        <f t="shared" si="1"/>
        <v>0.94130000000000003</v>
      </c>
    </row>
    <row r="66" spans="1:6" ht="32.25" customHeight="1" x14ac:dyDescent="0.2">
      <c r="A66" s="98" t="s">
        <v>134</v>
      </c>
      <c r="B66" s="76" t="s">
        <v>113</v>
      </c>
      <c r="C66" s="86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52889</v>
      </c>
      <c r="D66" s="86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38454</v>
      </c>
      <c r="E66" s="67">
        <f t="shared" si="0"/>
        <v>-14435</v>
      </c>
      <c r="F66" s="87">
        <f t="shared" si="1"/>
        <v>0.72709999999999997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  <ignoredErrors>
    <ignoredError sqref="C59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6"/>
  <sheetViews>
    <sheetView showGridLines="0" view="pageBreakPreview" zoomScale="55" zoomScaleNormal="70" zoomScaleSheetLayoutView="55" workbookViewId="0">
      <pane ySplit="6" topLeftCell="A10" activePane="bottomLeft" state="frozen"/>
      <selection activeCell="L43" sqref="L43"/>
      <selection pane="bottomLef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59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5852053</v>
      </c>
      <c r="D6" s="82">
        <f>D7+D8+D9+D14+D15+D16+D17+D18+D19+D20+D21+D22+D23+D24+D28+D29+D31+D32+D33+D34+D35</f>
        <v>5927221</v>
      </c>
      <c r="E6" s="67">
        <f>IF(C6=D6,"-",D6-C6)</f>
        <v>75168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IFERROR(VLOOKUP(A7,[4]Dolnośląski!$A$7:$D$100,4,FALSE),0)</f>
        <v>765250</v>
      </c>
      <c r="D7" s="13">
        <f>C7</f>
        <v>765250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IFERROR(VLOOKUP(A8,[4]Dolnośląski!$A$7:$D$100,4,FALSE),0)</f>
        <v>374077</v>
      </c>
      <c r="D8" s="13">
        <f>C8+7145+831</f>
        <v>382053</v>
      </c>
      <c r="E8" s="37">
        <f>IF(C8=D8,"-",D8-C8)</f>
        <v>7976</v>
      </c>
      <c r="F8" s="38">
        <f t="shared" si="1"/>
        <v>1.0213000000000001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IFERROR(VLOOKUP(A9,[4]Dolnośląski!$A$7:$D$100,4,FALSE),0)</f>
        <v>3037265</v>
      </c>
      <c r="D9" s="13">
        <f>C9+13538+33878</f>
        <v>3084681</v>
      </c>
      <c r="E9" s="37">
        <f t="shared" si="0"/>
        <v>47416</v>
      </c>
      <c r="F9" s="38">
        <f t="shared" si="1"/>
        <v>1.0156000000000001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IFERROR(VLOOKUP(A10,[4]Dolnośląski!$A$7:$D$100,4,FALSE),0)</f>
        <v>294681</v>
      </c>
      <c r="D10" s="13">
        <f t="shared" ref="D10:D34" si="2">C10</f>
        <v>294681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IFERROR(VLOOKUP(A11,[4]Dolnośląski!$A$7:$D$100,4,FALSE),0)</f>
        <v>269532</v>
      </c>
      <c r="D11" s="13">
        <f t="shared" si="2"/>
        <v>269532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IFERROR(VLOOKUP(A12,[4]Dolnośląski!$A$7:$D$100,4,FALSE),0)</f>
        <v>112295</v>
      </c>
      <c r="D12" s="13">
        <f t="shared" si="2"/>
        <v>112295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IFERROR(VLOOKUP(A13,[4]Dolnośląski!$A$7:$D$100,4,FALSE),0)</f>
        <v>53521</v>
      </c>
      <c r="D13" s="13">
        <f t="shared" si="2"/>
        <v>53521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IFERROR(VLOOKUP(A14,[4]Dolnośląski!$A$7:$D$100,4,FALSE),0)</f>
        <v>238270</v>
      </c>
      <c r="D14" s="13">
        <f>C14+1289</f>
        <v>239559</v>
      </c>
      <c r="E14" s="37">
        <f t="shared" si="0"/>
        <v>1289</v>
      </c>
      <c r="F14" s="38">
        <f t="shared" si="1"/>
        <v>1.0054000000000001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IFERROR(VLOOKUP(A15,[4]Dolnośląski!$A$7:$D$100,4,FALSE),0)</f>
        <v>178829</v>
      </c>
      <c r="D15" s="13">
        <f>C15+1122</f>
        <v>179951</v>
      </c>
      <c r="E15" s="37">
        <f t="shared" si="0"/>
        <v>1122</v>
      </c>
      <c r="F15" s="38">
        <f t="shared" si="1"/>
        <v>1.0063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IFERROR(VLOOKUP(A16,[4]Dolnośląski!$A$7:$D$100,4,FALSE),0)</f>
        <v>126330</v>
      </c>
      <c r="D16" s="13">
        <f>C16+1829</f>
        <v>128159</v>
      </c>
      <c r="E16" s="37">
        <f t="shared" si="0"/>
        <v>1829</v>
      </c>
      <c r="F16" s="38">
        <f t="shared" si="1"/>
        <v>1.0145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IFERROR(VLOOKUP(A17,[4]Dolnośląski!$A$7:$D$100,4,FALSE),0)</f>
        <v>65697</v>
      </c>
      <c r="D17" s="13">
        <f>C17+1663</f>
        <v>67360</v>
      </c>
      <c r="E17" s="37">
        <f t="shared" si="0"/>
        <v>1663</v>
      </c>
      <c r="F17" s="38">
        <f t="shared" si="1"/>
        <v>1.0253000000000001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IFERROR(VLOOKUP(A18,[4]Dolnośląski!$A$7:$D$100,4,FALSE),0)</f>
        <v>123104</v>
      </c>
      <c r="D18" s="13">
        <f t="shared" si="2"/>
        <v>123104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IFERROR(VLOOKUP(A19,[4]Dolnośląski!$A$7:$D$100,4,FALSE),0)</f>
        <v>67828</v>
      </c>
      <c r="D19" s="13">
        <f>C19+624</f>
        <v>68452</v>
      </c>
      <c r="E19" s="37">
        <f t="shared" si="0"/>
        <v>624</v>
      </c>
      <c r="F19" s="38">
        <f t="shared" si="1"/>
        <v>1.0092000000000001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IFERROR(VLOOKUP(A20,[4]Dolnośląski!$A$7:$D$100,4,FALSE),0)</f>
        <v>4892</v>
      </c>
      <c r="D20" s="13">
        <f t="shared" si="2"/>
        <v>4892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IFERROR(VLOOKUP(A21,[4]Dolnośląski!$A$7:$D$100,4,FALSE),0)</f>
        <v>15474</v>
      </c>
      <c r="D21" s="13">
        <f t="shared" si="2"/>
        <v>15474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IFERROR(VLOOKUP(A22,[4]Dolnośląski!$A$7:$D$100,4,FALSE),0)</f>
        <v>135181</v>
      </c>
      <c r="D22" s="13">
        <f>C22+1912</f>
        <v>137093</v>
      </c>
      <c r="E22" s="37">
        <f t="shared" si="0"/>
        <v>1912</v>
      </c>
      <c r="F22" s="38">
        <f t="shared" si="1"/>
        <v>1.0141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IFERROR(VLOOKUP(A23,[4]Dolnośląski!$A$7:$D$100,4,FALSE),0)</f>
        <v>88100</v>
      </c>
      <c r="D23" s="13">
        <f>C23+11337</f>
        <v>99437</v>
      </c>
      <c r="E23" s="37">
        <f t="shared" si="0"/>
        <v>11337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IFERROR(VLOOKUP(A24,[4]Dolnośląski!$A$7:$D$100,4,FALSE),0)</f>
        <v>611700</v>
      </c>
      <c r="D24" s="13">
        <f t="shared" si="2"/>
        <v>611700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IFERROR(VLOOKUP(A25,[4]Dolnośląski!$A$7:$D$100,4,FALSE),0)</f>
        <v>609700</v>
      </c>
      <c r="D25" s="13">
        <f t="shared" si="2"/>
        <v>609700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IFERROR(VLOOKUP(A26,[4]Dolnośląski!$A$7:$D$100,4,FALSE),0)</f>
        <v>1000</v>
      </c>
      <c r="D26" s="13">
        <f t="shared" si="2"/>
        <v>1000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IFERROR(VLOOKUP(A27,[4]Dolnośląski!$A$7:$D$100,4,FALSE),0)</f>
        <v>1000</v>
      </c>
      <c r="D27" s="13">
        <f t="shared" si="2"/>
        <v>1000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IFERROR(VLOOKUP(A28,[4]Dolnośląski!$A$7:$D$100,4,FALSE),0)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IFERROR(VLOOKUP(A29,[4]Dolnośląski!$A$7:$D$100,4,FALSE),0)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IFERROR(VLOOKUP(A30,[4]Dolnośląski!$A$7:$D$100,4,FALSE),0)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IFERROR(VLOOKUP(A31,[4]Dolnośląski!$A$7:$D$100,4,FALSE),0)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IFERROR(VLOOKUP(A32,[4]Dolnośląski!$A$7:$D$100,4,FALSE),0)</f>
        <v>15821</v>
      </c>
      <c r="D32" s="13">
        <f t="shared" si="2"/>
        <v>15821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IFERROR(VLOOKUP(A33,[4]Dolnośląski!$A$7:$D$100,4,FALSE),0)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IFERROR(VLOOKUP(A34,[4]Dolnośląski!$A$7:$D$100,4,FALSE),0)</f>
        <v>100</v>
      </c>
      <c r="D34" s="13">
        <f t="shared" si="2"/>
        <v>100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IFERROR(VLOOKUP(A35,[4]Dolnośląski!$A$7:$D$100,4,FALSE),0)</f>
        <v>4135</v>
      </c>
      <c r="D35" s="13">
        <f>C35</f>
        <v>4135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IFERROR(VLOOKUP(A36,[4]Dolnośląski!$A$7:$D$100,4,FALSE),0)</f>
        <v>612</v>
      </c>
      <c r="D36" s="36">
        <f>C36</f>
        <v>612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IFERROR(VLOOKUP(A37,[4]Dolnośląski!$A$7:$D$100,4,FALSE),0)</f>
        <v>146872</v>
      </c>
      <c r="D37" s="36">
        <f>C37</f>
        <v>146872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IFERROR(VLOOKUP(A38,[4]Dolnośląski!$A$7:$D$100,4,FALSE),0)</f>
        <v>49029</v>
      </c>
      <c r="D38" s="36">
        <f>C38</f>
        <v>49029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934753</v>
      </c>
      <c r="D39" s="31">
        <f>D11+D13+D24+D30</f>
        <v>934753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36268</v>
      </c>
      <c r="D40" s="70">
        <f>D41+D42+D43+D51+D53+D59+D60+D58</f>
        <v>36268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IFERROR(VLOOKUP(A41,[4]Dolnośląski!$A$7:$D$100,4,FALSE),0)</f>
        <v>1429</v>
      </c>
      <c r="D41" s="32">
        <f>C41</f>
        <v>1429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IFERROR(VLOOKUP(A42,[4]Dolnośląski!$A$7:$D$100,4,FALSE),0)</f>
        <v>4911</v>
      </c>
      <c r="D42" s="32">
        <f t="shared" ref="D42:D60" si="3">C42</f>
        <v>4911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359</v>
      </c>
      <c r="D43" s="32">
        <f>D44+D46+D47+D48+D49+D50</f>
        <v>359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IFERROR(VLOOKUP(A44,[4]Dolnośląski!$A$7:$D$100,4,FALSE),0)</f>
        <v>55</v>
      </c>
      <c r="D44" s="32">
        <f t="shared" si="3"/>
        <v>55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IFERROR(VLOOKUP(A45,[4]Dolnośląski!$A$7:$D$100,4,FALSE),0)</f>
        <v>55</v>
      </c>
      <c r="D45" s="32">
        <f t="shared" si="3"/>
        <v>55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IFERROR(VLOOKUP(A46,[4]Dolnośląski!$A$7:$D$100,4,FALSE),0)</f>
        <v>68</v>
      </c>
      <c r="D46" s="32">
        <f t="shared" si="3"/>
        <v>68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IFERROR(VLOOKUP(A47,[4]Dolnośląski!$A$7:$D$100,4,FALSE),0)</f>
        <v>1</v>
      </c>
      <c r="D47" s="32">
        <f t="shared" si="3"/>
        <v>1</v>
      </c>
      <c r="E47" s="37" t="str">
        <f t="shared" si="0"/>
        <v>-</v>
      </c>
      <c r="F47" s="38">
        <f t="shared" si="1"/>
        <v>1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IFERROR(VLOOKUP(A48,[4]Dolnośląski!$A$7:$D$100,4,FALSE),0)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IFERROR(VLOOKUP(A49,[4]Dolnośląski!$A$7:$D$100,4,FALSE),0)</f>
        <v>233</v>
      </c>
      <c r="D49" s="32">
        <f t="shared" si="3"/>
        <v>233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IFERROR(VLOOKUP(A50,[4]Dolnośląski!$A$7:$D$100,4,FALSE),0)</f>
        <v>2</v>
      </c>
      <c r="D50" s="32">
        <f t="shared" si="3"/>
        <v>2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IFERROR(VLOOKUP(A51,[4]Dolnośląski!$A$7:$D$100,4,FALSE),0)</f>
        <v>22409</v>
      </c>
      <c r="D51" s="32">
        <f t="shared" si="3"/>
        <v>22409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IFERROR(VLOOKUP(A52,[4]Dolnośląski!$A$7:$D$100,4,FALSE),0)</f>
        <v>100</v>
      </c>
      <c r="D52" s="32">
        <f t="shared" si="3"/>
        <v>100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5026</v>
      </c>
      <c r="D53" s="28">
        <f>D54+D55+D56+D57</f>
        <v>5026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IFERROR(VLOOKUP(A54,[4]Dolnośląski!$A$7:$D$100,4,FALSE),0)</f>
        <v>3745</v>
      </c>
      <c r="D54" s="32">
        <f t="shared" si="3"/>
        <v>3745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IFERROR(VLOOKUP(A55,[4]Dolnośląski!$A$7:$D$100,4,FALSE),0)</f>
        <v>449</v>
      </c>
      <c r="D55" s="32">
        <f t="shared" si="3"/>
        <v>449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IFERROR(VLOOKUP(A56,[4]Dolnośląski!$A$7:$D$100,4,FALSE),0)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IFERROR(VLOOKUP(A57,[4]Dolnośląski!$A$7:$D$100,4,FALSE),0)</f>
        <v>832</v>
      </c>
      <c r="D57" s="32">
        <f t="shared" si="3"/>
        <v>832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IFERROR(VLOOKUP(A58,[4]Dolnośląski!$A$7:$D$100,4,FALSE),0)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IFERROR(VLOOKUP(A59,[4]Dolnośląski!$A$7:$D$100,4,FALSE),0)</f>
        <v>1933</v>
      </c>
      <c r="D59" s="32">
        <f t="shared" si="3"/>
        <v>1933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IFERROR(VLOOKUP(A60,[4]Dolnośląski!$A$7:$D$100,4,FALSE),0)</f>
        <v>201</v>
      </c>
      <c r="D60" s="32">
        <f t="shared" si="3"/>
        <v>201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16705</v>
      </c>
      <c r="D61" s="86">
        <f>D62+D63+D64+D65</f>
        <v>10668</v>
      </c>
      <c r="E61" s="67">
        <f t="shared" si="0"/>
        <v>-6037</v>
      </c>
      <c r="F61" s="87">
        <f t="shared" si="1"/>
        <v>0.63859999999999995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IFERROR(VLOOKUP(A62,[4]Dolnośląski!$A$7:$D$100,4,FALSE),0)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IFERROR(VLOOKUP(A63,[4]Dolnośląski!$A$7:$D$100,4,FALSE),0)</f>
        <v>15045</v>
      </c>
      <c r="D63" s="32">
        <f>C63-6037</f>
        <v>9008</v>
      </c>
      <c r="E63" s="28">
        <f t="shared" si="0"/>
        <v>-6037</v>
      </c>
      <c r="F63" s="38">
        <f t="shared" si="1"/>
        <v>0.59870000000000001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IFERROR(VLOOKUP(A64,[4]Dolnośląski!$A$7:$D$100,4,FALSE),0)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IFERROR(VLOOKUP(A65,[4]Dolnośląski!$A$7:$D$100,4,FALSE),0)</f>
        <v>1660</v>
      </c>
      <c r="D65" s="32">
        <f>C65</f>
        <v>1660</v>
      </c>
      <c r="E65" s="28" t="str">
        <f t="shared" si="0"/>
        <v>-</v>
      </c>
      <c r="F65" s="38">
        <f t="shared" si="1"/>
        <v>1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IFERROR(VLOOKUP(A66,[4]Dolnośląski!$A$7:$D$100,4,FALSE),0)</f>
        <v>1981</v>
      </c>
      <c r="D66" s="86">
        <f>C66-728</f>
        <v>1253</v>
      </c>
      <c r="E66" s="67">
        <f t="shared" si="0"/>
        <v>-728</v>
      </c>
      <c r="F66" s="87">
        <f t="shared" si="1"/>
        <v>0.63249999999999995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60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4158329</v>
      </c>
      <c r="D6" s="82">
        <f>D7+D8+D9+D14+D15+D16+D17+D18+D19+D20+D21+D22+D23+D24+D28+D29+D31+D32+D33+D34+D35</f>
        <v>4211868</v>
      </c>
      <c r="E6" s="67">
        <f>IF(C6=D6,"-",D6-C6)</f>
        <v>53539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IFERROR(VLOOKUP(A7,[4]KujawskoPomorski!$A$7:$D$100,4,FALSE),0)</f>
        <v>570824</v>
      </c>
      <c r="D7" s="13">
        <f>C7</f>
        <v>570824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IFERROR(VLOOKUP(A8,[4]KujawskoPomorski!$A$7:$D$100,4,FALSE),0)</f>
        <v>199861</v>
      </c>
      <c r="D8" s="13">
        <f>C8+5089+8000</f>
        <v>212950</v>
      </c>
      <c r="E8" s="37">
        <f t="shared" si="0"/>
        <v>13089</v>
      </c>
      <c r="F8" s="38">
        <f t="shared" si="1"/>
        <v>1.0654999999999999</v>
      </c>
    </row>
    <row r="9" spans="1:6" ht="33" customHeight="1" x14ac:dyDescent="0.2">
      <c r="A9" s="91" t="s">
        <v>3</v>
      </c>
      <c r="B9" s="14" t="s">
        <v>114</v>
      </c>
      <c r="C9" s="30">
        <f>IFERROR(VLOOKUP(A9,[4]KujawskoPomorski!$A$7:$D$100,4,FALSE),0)</f>
        <v>2159130</v>
      </c>
      <c r="D9" s="13">
        <f>C9+9643+23987</f>
        <v>2192760</v>
      </c>
      <c r="E9" s="37">
        <f t="shared" si="0"/>
        <v>33630</v>
      </c>
      <c r="F9" s="38">
        <f t="shared" si="1"/>
        <v>1.0156000000000001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IFERROR(VLOOKUP(A10,[4]KujawskoPomorski!$A$7:$D$100,4,FALSE),0)</f>
        <v>181796</v>
      </c>
      <c r="D10" s="13">
        <f t="shared" ref="D10:D34" si="2">C10</f>
        <v>181796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IFERROR(VLOOKUP(A11,[4]KujawskoPomorski!$A$7:$D$100,4,FALSE),0)</f>
        <v>164652</v>
      </c>
      <c r="D11" s="13">
        <f t="shared" si="2"/>
        <v>164652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IFERROR(VLOOKUP(A12,[4]KujawskoPomorski!$A$7:$D$100,4,FALSE),0)</f>
        <v>67955</v>
      </c>
      <c r="D12" s="13">
        <f t="shared" si="2"/>
        <v>67955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IFERROR(VLOOKUP(A13,[4]KujawskoPomorski!$A$7:$D$100,4,FALSE),0)</f>
        <v>36995</v>
      </c>
      <c r="D13" s="13">
        <f t="shared" si="2"/>
        <v>36995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IFERROR(VLOOKUP(A14,[4]KujawskoPomorski!$A$7:$D$100,4,FALSE),0)</f>
        <v>156216</v>
      </c>
      <c r="D14" s="13">
        <f t="shared" si="2"/>
        <v>156216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IFERROR(VLOOKUP(A15,[4]KujawskoPomorski!$A$7:$D$100,4,FALSE),0)</f>
        <v>117602</v>
      </c>
      <c r="D15" s="13">
        <f t="shared" si="2"/>
        <v>117602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IFERROR(VLOOKUP(A16,[4]KujawskoPomorski!$A$7:$D$100,4,FALSE),0)</f>
        <v>71182</v>
      </c>
      <c r="D16" s="13">
        <f t="shared" si="2"/>
        <v>71182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IFERROR(VLOOKUP(A17,[4]KujawskoPomorski!$A$7:$D$100,4,FALSE),0)</f>
        <v>47060</v>
      </c>
      <c r="D17" s="13">
        <f t="shared" si="2"/>
        <v>47060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IFERROR(VLOOKUP(A18,[4]KujawskoPomorski!$A$7:$D$100,4,FALSE),0)</f>
        <v>100887</v>
      </c>
      <c r="D18" s="13">
        <f t="shared" si="2"/>
        <v>100887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IFERROR(VLOOKUP(A19,[4]KujawskoPomorski!$A$7:$D$100,4,FALSE),0)</f>
        <v>37732</v>
      </c>
      <c r="D19" s="13">
        <f t="shared" si="2"/>
        <v>37732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IFERROR(VLOOKUP(A20,[4]KujawskoPomorski!$A$7:$D$100,4,FALSE),0)</f>
        <v>3050</v>
      </c>
      <c r="D20" s="13">
        <f t="shared" si="2"/>
        <v>3050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IFERROR(VLOOKUP(A21,[4]KujawskoPomorski!$A$7:$D$100,4,FALSE),0)</f>
        <v>12470</v>
      </c>
      <c r="D21" s="13">
        <f t="shared" si="2"/>
        <v>12470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IFERROR(VLOOKUP(A22,[4]KujawskoPomorski!$A$7:$D$100,4,FALSE),0)</f>
        <v>113120</v>
      </c>
      <c r="D22" s="13">
        <f t="shared" si="2"/>
        <v>113120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IFERROR(VLOOKUP(A23,[4]KujawskoPomorski!$A$7:$D$100,4,FALSE),0)</f>
        <v>53000</v>
      </c>
      <c r="D23" s="13">
        <f>C23+6820</f>
        <v>59820</v>
      </c>
      <c r="E23" s="37">
        <f t="shared" si="0"/>
        <v>6820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IFERROR(VLOOKUP(A24,[4]KujawskoPomorski!$A$7:$D$100,4,FALSE),0)</f>
        <v>500033</v>
      </c>
      <c r="D24" s="13">
        <f t="shared" si="2"/>
        <v>500033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IFERROR(VLOOKUP(A25,[4]KujawskoPomorski!$A$7:$D$100,4,FALSE),0)</f>
        <v>499000</v>
      </c>
      <c r="D25" s="13">
        <f t="shared" si="2"/>
        <v>499000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IFERROR(VLOOKUP(A26,[4]KujawskoPomorski!$A$7:$D$100,4,FALSE),0)</f>
        <v>600</v>
      </c>
      <c r="D26" s="13">
        <f t="shared" si="2"/>
        <v>600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IFERROR(VLOOKUP(A27,[4]KujawskoPomorski!$A$7:$D$100,4,FALSE),0)</f>
        <v>433</v>
      </c>
      <c r="D27" s="13">
        <f t="shared" si="2"/>
        <v>433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IFERROR(VLOOKUP(A28,[4]KujawskoPomorski!$A$7:$D$100,4,FALSE),0)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IFERROR(VLOOKUP(A29,[4]KujawskoPomorski!$A$7:$D$100,4,FALSE),0)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IFERROR(VLOOKUP(A30,[4]KujawskoPomorski!$A$7:$D$100,4,FALSE),0)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IFERROR(VLOOKUP(A31,[4]KujawskoPomorski!$A$7:$D$100,4,FALSE),0)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IFERROR(VLOOKUP(A32,[4]KujawskoPomorski!$A$7:$D$100,4,FALSE),0)</f>
        <v>13177</v>
      </c>
      <c r="D32" s="13">
        <f t="shared" si="2"/>
        <v>13177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IFERROR(VLOOKUP(A33,[4]KujawskoPomorski!$A$7:$D$100,4,FALSE),0)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IFERROR(VLOOKUP(A34,[4]KujawskoPomorski!$A$7:$D$100,4,FALSE),0)</f>
        <v>200</v>
      </c>
      <c r="D34" s="13">
        <f t="shared" si="2"/>
        <v>200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IFERROR(VLOOKUP(A35,[4]KujawskoPomorski!$A$7:$D$100,4,FALSE),0)</f>
        <v>2785</v>
      </c>
      <c r="D35" s="13">
        <f>C35</f>
        <v>2785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IFERROR(VLOOKUP(A36,[4]KujawskoPomorski!$A$7:$D$100,4,FALSE),0)</f>
        <v>0</v>
      </c>
      <c r="D36" s="36">
        <f>C36</f>
        <v>0</v>
      </c>
      <c r="E36" s="7" t="str">
        <f t="shared" si="0"/>
        <v>-</v>
      </c>
      <c r="F36" s="39" t="str">
        <f t="shared" si="1"/>
        <v>-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IFERROR(VLOOKUP(A37,[4]KujawskoPomorski!$A$7:$D$100,4,FALSE),0)</f>
        <v>115646</v>
      </c>
      <c r="D37" s="36">
        <f>C37</f>
        <v>115646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IFERROR(VLOOKUP(A38,[4]KujawskoPomorski!$A$7:$D$100,4,FALSE),0)</f>
        <v>32446</v>
      </c>
      <c r="D38" s="36">
        <f>C38</f>
        <v>32446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701680</v>
      </c>
      <c r="D39" s="31">
        <f>D11+D13+D24+D30</f>
        <v>701680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33024</v>
      </c>
      <c r="D40" s="70">
        <f>D41+D42+D43+D51+D53+D59+D60+D58</f>
        <v>33024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IFERROR(VLOOKUP(A41,[4]KujawskoPomorski!$A$7:$D$100,4,FALSE),0)</f>
        <v>1660</v>
      </c>
      <c r="D41" s="32">
        <f>C41</f>
        <v>1660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IFERROR(VLOOKUP(A42,[4]KujawskoPomorski!$A$7:$D$100,4,FALSE),0)</f>
        <v>5217</v>
      </c>
      <c r="D42" s="32">
        <f t="shared" ref="D42:D60" si="3">C42</f>
        <v>5217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302</v>
      </c>
      <c r="D43" s="32">
        <f>D44+D46+D47+D48+D49+D50</f>
        <v>302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IFERROR(VLOOKUP(A44,[4]KujawskoPomorski!$A$7:$D$100,4,FALSE),0)</f>
        <v>82</v>
      </c>
      <c r="D44" s="32">
        <f t="shared" si="3"/>
        <v>82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IFERROR(VLOOKUP(A45,[4]KujawskoPomorski!$A$7:$D$100,4,FALSE),0)</f>
        <v>82</v>
      </c>
      <c r="D45" s="32">
        <f t="shared" si="3"/>
        <v>82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IFERROR(VLOOKUP(A46,[4]KujawskoPomorski!$A$7:$D$100,4,FALSE),0)</f>
        <v>25</v>
      </c>
      <c r="D46" s="32">
        <f t="shared" si="3"/>
        <v>25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IFERROR(VLOOKUP(A47,[4]KujawskoPomorski!$A$7:$D$100,4,FALSE),0)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IFERROR(VLOOKUP(A48,[4]KujawskoPomorski!$A$7:$D$100,4,FALSE),0)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IFERROR(VLOOKUP(A49,[4]KujawskoPomorski!$A$7:$D$100,4,FALSE),0)</f>
        <v>180</v>
      </c>
      <c r="D49" s="32">
        <f t="shared" si="3"/>
        <v>180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IFERROR(VLOOKUP(A50,[4]KujawskoPomorski!$A$7:$D$100,4,FALSE),0)</f>
        <v>15</v>
      </c>
      <c r="D50" s="32">
        <f t="shared" si="3"/>
        <v>15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IFERROR(VLOOKUP(A51,[4]KujawskoPomorski!$A$7:$D$100,4,FALSE),0)</f>
        <v>15812</v>
      </c>
      <c r="D51" s="32">
        <f t="shared" si="3"/>
        <v>15812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IFERROR(VLOOKUP(A52,[4]KujawskoPomorski!$A$7:$D$100,4,FALSE),0)</f>
        <v>0</v>
      </c>
      <c r="D52" s="32">
        <f t="shared" si="3"/>
        <v>0</v>
      </c>
      <c r="E52" s="37" t="str">
        <f t="shared" si="0"/>
        <v>-</v>
      </c>
      <c r="F52" s="38" t="str">
        <f t="shared" si="1"/>
        <v>-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3545</v>
      </c>
      <c r="D53" s="28">
        <f>D54+D55+D56+D57</f>
        <v>3545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IFERROR(VLOOKUP(A54,[4]KujawskoPomorski!$A$7:$D$100,4,FALSE),0)</f>
        <v>2647</v>
      </c>
      <c r="D54" s="32">
        <f t="shared" si="3"/>
        <v>2647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IFERROR(VLOOKUP(A55,[4]KujawskoPomorski!$A$7:$D$100,4,FALSE),0)</f>
        <v>306</v>
      </c>
      <c r="D55" s="32">
        <f t="shared" si="3"/>
        <v>306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IFERROR(VLOOKUP(A56,[4]KujawskoPomorski!$A$7:$D$100,4,FALSE),0)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IFERROR(VLOOKUP(A57,[4]KujawskoPomorski!$A$7:$D$100,4,FALSE),0)</f>
        <v>592</v>
      </c>
      <c r="D57" s="32">
        <f t="shared" si="3"/>
        <v>592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IFERROR(VLOOKUP(A58,[4]KujawskoPomorski!$A$7:$D$100,4,FALSE),0)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IFERROR(VLOOKUP(A59,[4]KujawskoPomorski!$A$7:$D$100,4,FALSE),0)</f>
        <v>6070</v>
      </c>
      <c r="D59" s="32">
        <f t="shared" si="3"/>
        <v>6070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IFERROR(VLOOKUP(A60,[4]KujawskoPomorski!$A$7:$D$100,4,FALSE),0)</f>
        <v>418</v>
      </c>
      <c r="D60" s="32">
        <f t="shared" si="3"/>
        <v>418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45001</v>
      </c>
      <c r="D61" s="86">
        <f>D62+D63+D64+D65</f>
        <v>20135</v>
      </c>
      <c r="E61" s="67">
        <f t="shared" si="0"/>
        <v>-24866</v>
      </c>
      <c r="F61" s="87">
        <f t="shared" si="1"/>
        <v>0.44740000000000002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IFERROR(VLOOKUP(A62,[4]KujawskoPomorski!$A$7:$D$100,4,FALSE),0)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IFERROR(VLOOKUP(A63,[4]KujawskoPomorski!$A$7:$D$100,4,FALSE),0)</f>
        <v>38601</v>
      </c>
      <c r="D63" s="32">
        <f>C63-24611</f>
        <v>13990</v>
      </c>
      <c r="E63" s="28">
        <f t="shared" si="0"/>
        <v>-24611</v>
      </c>
      <c r="F63" s="38">
        <f t="shared" si="1"/>
        <v>0.3624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IFERROR(VLOOKUP(A64,[4]KujawskoPomorski!$A$7:$D$100,4,FALSE),0)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IFERROR(VLOOKUP(A65,[4]KujawskoPomorski!$A$7:$D$100,4,FALSE),0)</f>
        <v>6400</v>
      </c>
      <c r="D65" s="32">
        <f>C65-255</f>
        <v>6145</v>
      </c>
      <c r="E65" s="28">
        <f t="shared" si="0"/>
        <v>-255</v>
      </c>
      <c r="F65" s="38">
        <f t="shared" si="1"/>
        <v>0.96020000000000005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IFERROR(VLOOKUP(A66,[4]KujawskoPomorski!$A$7:$D$100,4,FALSE),0)</f>
        <v>18259</v>
      </c>
      <c r="D66" s="86">
        <f>C66-11359</f>
        <v>6900</v>
      </c>
      <c r="E66" s="67">
        <f t="shared" si="0"/>
        <v>-11359</v>
      </c>
      <c r="F66" s="87">
        <f t="shared" si="1"/>
        <v>0.37790000000000001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61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4358307</v>
      </c>
      <c r="D6" s="82">
        <f>D7+D8+D9+D14+D15+D16+D17+D18+D19+D20+D21+D22+D23+D24+D28+D29+D31+D32+D33+D34+D35</f>
        <v>4414571</v>
      </c>
      <c r="E6" s="67">
        <f>IF(C6=D6,"-",D6-C6)</f>
        <v>56264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IFERROR(VLOOKUP(A7,[4]Lubelski!$A$7:$D$100,4,FALSE),0)</f>
        <v>568716</v>
      </c>
      <c r="D7" s="13">
        <f>C7</f>
        <v>568716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IFERROR(VLOOKUP(A8,[4]Lubelski!$A$7:$D$100,4,FALSE),0)</f>
        <v>228285</v>
      </c>
      <c r="D8" s="13">
        <f>C8+5348</f>
        <v>233633</v>
      </c>
      <c r="E8" s="37">
        <f t="shared" si="0"/>
        <v>5348</v>
      </c>
      <c r="F8" s="38">
        <f t="shared" si="1"/>
        <v>1.0234000000000001</v>
      </c>
    </row>
    <row r="9" spans="1:6" ht="33" customHeight="1" x14ac:dyDescent="0.2">
      <c r="A9" s="91" t="s">
        <v>3</v>
      </c>
      <c r="B9" s="14" t="s">
        <v>114</v>
      </c>
      <c r="C9" s="30">
        <f>IFERROR(VLOOKUP(A9,[4]Lubelski!$A$7:$D$100,4,FALSE),0)</f>
        <v>2270856</v>
      </c>
      <c r="D9" s="13">
        <f>C9+10134+33818</f>
        <v>2314808</v>
      </c>
      <c r="E9" s="37">
        <f t="shared" si="0"/>
        <v>43952</v>
      </c>
      <c r="F9" s="38">
        <f t="shared" si="1"/>
        <v>1.0194000000000001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IFERROR(VLOOKUP(A10,[4]Lubelski!$A$7:$D$100,4,FALSE),0)</f>
        <v>194028</v>
      </c>
      <c r="D10" s="13">
        <f t="shared" ref="D10:D34" si="2">C10</f>
        <v>194028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IFERROR(VLOOKUP(A11,[4]Lubelski!$A$7:$D$100,4,FALSE),0)</f>
        <v>174326</v>
      </c>
      <c r="D11" s="13">
        <f t="shared" si="2"/>
        <v>174326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IFERROR(VLOOKUP(A12,[4]Lubelski!$A$7:$D$100,4,FALSE),0)</f>
        <v>95775</v>
      </c>
      <c r="D12" s="13">
        <f t="shared" si="2"/>
        <v>95775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IFERROR(VLOOKUP(A13,[4]Lubelski!$A$7:$D$100,4,FALSE),0)</f>
        <v>44369</v>
      </c>
      <c r="D13" s="13">
        <f t="shared" si="2"/>
        <v>44369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IFERROR(VLOOKUP(A14,[4]Lubelski!$A$7:$D$100,4,FALSE),0)</f>
        <v>177938</v>
      </c>
      <c r="D14" s="13">
        <f t="shared" si="2"/>
        <v>177938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IFERROR(VLOOKUP(A15,[4]Lubelski!$A$7:$D$100,4,FALSE),0)</f>
        <v>132636</v>
      </c>
      <c r="D15" s="13">
        <f t="shared" si="2"/>
        <v>132636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IFERROR(VLOOKUP(A16,[4]Lubelski!$A$7:$D$100,4,FALSE),0)</f>
        <v>88730</v>
      </c>
      <c r="D16" s="13">
        <f t="shared" si="2"/>
        <v>88730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IFERROR(VLOOKUP(A17,[4]Lubelski!$A$7:$D$100,4,FALSE),0)</f>
        <v>32413</v>
      </c>
      <c r="D17" s="13">
        <f t="shared" si="2"/>
        <v>32413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IFERROR(VLOOKUP(A18,[4]Lubelski!$A$7:$D$100,4,FALSE),0)</f>
        <v>130071</v>
      </c>
      <c r="D18" s="13">
        <f t="shared" si="2"/>
        <v>130071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IFERROR(VLOOKUP(A19,[4]Lubelski!$A$7:$D$100,4,FALSE),0)</f>
        <v>42622</v>
      </c>
      <c r="D19" s="13">
        <f t="shared" si="2"/>
        <v>42622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IFERROR(VLOOKUP(A20,[4]Lubelski!$A$7:$D$100,4,FALSE),0)</f>
        <v>3513</v>
      </c>
      <c r="D20" s="13">
        <f t="shared" si="2"/>
        <v>3513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IFERROR(VLOOKUP(A21,[4]Lubelski!$A$7:$D$100,4,FALSE),0)</f>
        <v>11300</v>
      </c>
      <c r="D21" s="13">
        <f t="shared" si="2"/>
        <v>11300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IFERROR(VLOOKUP(A22,[4]Lubelski!$A$7:$D$100,4,FALSE),0)</f>
        <v>120488</v>
      </c>
      <c r="D22" s="13">
        <f t="shared" si="2"/>
        <v>120488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IFERROR(VLOOKUP(A23,[4]Lubelski!$A$7:$D$100,4,FALSE),0)</f>
        <v>54113</v>
      </c>
      <c r="D23" s="13">
        <f>C23+6964</f>
        <v>61077</v>
      </c>
      <c r="E23" s="37">
        <f t="shared" si="0"/>
        <v>6964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IFERROR(VLOOKUP(A24,[4]Lubelski!$A$7:$D$100,4,FALSE),0)</f>
        <v>473388</v>
      </c>
      <c r="D24" s="13">
        <f t="shared" si="2"/>
        <v>473388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IFERROR(VLOOKUP(A25,[4]Lubelski!$A$7:$D$100,4,FALSE),0)</f>
        <v>470888</v>
      </c>
      <c r="D25" s="13">
        <f t="shared" si="2"/>
        <v>470888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IFERROR(VLOOKUP(A26,[4]Lubelski!$A$7:$D$100,4,FALSE),0)</f>
        <v>2200</v>
      </c>
      <c r="D26" s="13">
        <f t="shared" si="2"/>
        <v>2200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IFERROR(VLOOKUP(A27,[4]Lubelski!$A$7:$D$100,4,FALSE),0)</f>
        <v>300</v>
      </c>
      <c r="D27" s="13">
        <f t="shared" si="2"/>
        <v>300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IFERROR(VLOOKUP(A28,[4]Lubelski!$A$7:$D$100,4,FALSE),0)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IFERROR(VLOOKUP(A29,[4]Lubelski!$A$7:$D$100,4,FALSE),0)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IFERROR(VLOOKUP(A30,[4]Lubelski!$A$7:$D$100,4,FALSE),0)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IFERROR(VLOOKUP(A31,[4]Lubelski!$A$7:$D$100,4,FALSE),0)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IFERROR(VLOOKUP(A32,[4]Lubelski!$A$7:$D$100,4,FALSE),0)</f>
        <v>20968</v>
      </c>
      <c r="D32" s="13">
        <f t="shared" si="2"/>
        <v>20968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IFERROR(VLOOKUP(A33,[4]Lubelski!$A$7:$D$100,4,FALSE),0)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IFERROR(VLOOKUP(A34,[4]Lubelski!$A$7:$D$100,4,FALSE),0)</f>
        <v>1000</v>
      </c>
      <c r="D34" s="13">
        <f t="shared" si="2"/>
        <v>1000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IFERROR(VLOOKUP(A35,[4]Lubelski!$A$7:$D$100,4,FALSE),0)</f>
        <v>1270</v>
      </c>
      <c r="D35" s="13">
        <f>C35</f>
        <v>1270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IFERROR(VLOOKUP(A36,[4]Lubelski!$A$7:$D$100,4,FALSE),0)</f>
        <v>0</v>
      </c>
      <c r="D36" s="36">
        <f>C36</f>
        <v>0</v>
      </c>
      <c r="E36" s="7" t="str">
        <f t="shared" si="0"/>
        <v>-</v>
      </c>
      <c r="F36" s="39" t="str">
        <f t="shared" si="1"/>
        <v>-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IFERROR(VLOOKUP(A37,[4]Lubelski!$A$7:$D$100,4,FALSE),0)</f>
        <v>114331</v>
      </c>
      <c r="D37" s="36">
        <f>C37</f>
        <v>114331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IFERROR(VLOOKUP(A38,[4]Lubelski!$A$7:$D$100,4,FALSE),0)</f>
        <v>38608</v>
      </c>
      <c r="D38" s="36">
        <f>C38</f>
        <v>38608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692083</v>
      </c>
      <c r="D39" s="31">
        <f>D11+D13+D24+D30</f>
        <v>692083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25579</v>
      </c>
      <c r="D40" s="70">
        <f>D41+D42+D43+D51+D53+D59+D60+D58</f>
        <v>25579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IFERROR(VLOOKUP(A41,[4]Lubelski!$A$7:$D$100,4,FALSE),0)</f>
        <v>893</v>
      </c>
      <c r="D41" s="32">
        <f>C41</f>
        <v>893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IFERROR(VLOOKUP(A42,[4]Lubelski!$A$7:$D$100,4,FALSE),0)</f>
        <v>2867</v>
      </c>
      <c r="D42" s="32">
        <f t="shared" ref="D42:D60" si="3">C42</f>
        <v>2867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271</v>
      </c>
      <c r="D43" s="32">
        <f>D44+D46+D47+D48+D49+D50</f>
        <v>271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IFERROR(VLOOKUP(A44,[4]Lubelski!$A$7:$D$100,4,FALSE),0)</f>
        <v>32</v>
      </c>
      <c r="D44" s="32">
        <f t="shared" si="3"/>
        <v>32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IFERROR(VLOOKUP(A45,[4]Lubelski!$A$7:$D$100,4,FALSE),0)</f>
        <v>32</v>
      </c>
      <c r="D45" s="32">
        <f t="shared" si="3"/>
        <v>32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IFERROR(VLOOKUP(A46,[4]Lubelski!$A$7:$D$100,4,FALSE),0)</f>
        <v>0</v>
      </c>
      <c r="D46" s="32">
        <f t="shared" si="3"/>
        <v>0</v>
      </c>
      <c r="E46" s="37" t="str">
        <f t="shared" si="0"/>
        <v>-</v>
      </c>
      <c r="F46" s="38" t="str">
        <f t="shared" si="1"/>
        <v>-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IFERROR(VLOOKUP(A47,[4]Lubelski!$A$7:$D$100,4,FALSE),0)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IFERROR(VLOOKUP(A48,[4]Lubelski!$A$7:$D$100,4,FALSE),0)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IFERROR(VLOOKUP(A49,[4]Lubelski!$A$7:$D$100,4,FALSE),0)</f>
        <v>225</v>
      </c>
      <c r="D49" s="32">
        <f t="shared" si="3"/>
        <v>225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IFERROR(VLOOKUP(A50,[4]Lubelski!$A$7:$D$100,4,FALSE),0)</f>
        <v>14</v>
      </c>
      <c r="D50" s="32">
        <f t="shared" si="3"/>
        <v>14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IFERROR(VLOOKUP(A51,[4]Lubelski!$A$7:$D$100,4,FALSE),0)</f>
        <v>16499</v>
      </c>
      <c r="D51" s="32">
        <f t="shared" si="3"/>
        <v>16499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IFERROR(VLOOKUP(A52,[4]Lubelski!$A$7:$D$100,4,FALSE),0)</f>
        <v>144</v>
      </c>
      <c r="D52" s="32">
        <f t="shared" si="3"/>
        <v>144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3699</v>
      </c>
      <c r="D53" s="28">
        <f>D54+D55+D56+D57</f>
        <v>3699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IFERROR(VLOOKUP(A54,[4]Lubelski!$A$7:$D$100,4,FALSE),0)</f>
        <v>2834</v>
      </c>
      <c r="D54" s="32">
        <f t="shared" si="3"/>
        <v>2834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IFERROR(VLOOKUP(A55,[4]Lubelski!$A$7:$D$100,4,FALSE),0)</f>
        <v>405</v>
      </c>
      <c r="D55" s="32">
        <f t="shared" si="3"/>
        <v>405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IFERROR(VLOOKUP(A56,[4]Lubelski!$A$7:$D$100,4,FALSE),0)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IFERROR(VLOOKUP(A57,[4]Lubelski!$A$7:$D$100,4,FALSE),0)</f>
        <v>460</v>
      </c>
      <c r="D57" s="32">
        <f t="shared" si="3"/>
        <v>460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IFERROR(VLOOKUP(A58,[4]Lubelski!$A$7:$D$100,4,FALSE),0)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IFERROR(VLOOKUP(A59,[4]Lubelski!$A$7:$D$100,4,FALSE),0)</f>
        <v>966</v>
      </c>
      <c r="D59" s="32">
        <f t="shared" si="3"/>
        <v>966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IFERROR(VLOOKUP(A60,[4]Lubelski!$A$7:$D$100,4,FALSE),0)</f>
        <v>384</v>
      </c>
      <c r="D60" s="32">
        <f t="shared" si="3"/>
        <v>384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41500</v>
      </c>
      <c r="D61" s="86">
        <f>D62+D63+D64+D65</f>
        <v>6000</v>
      </c>
      <c r="E61" s="67">
        <f t="shared" si="0"/>
        <v>-35500</v>
      </c>
      <c r="F61" s="87">
        <f t="shared" si="1"/>
        <v>0.14460000000000001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IFERROR(VLOOKUP(A62,[4]Lubelski!$A$7:$D$100,4,FALSE),0)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IFERROR(VLOOKUP(A63,[4]Lubelski!$A$7:$D$100,4,FALSE),0)</f>
        <v>40500</v>
      </c>
      <c r="D63" s="32">
        <f>C63-35500</f>
        <v>5000</v>
      </c>
      <c r="E63" s="28">
        <f t="shared" si="0"/>
        <v>-35500</v>
      </c>
      <c r="F63" s="38">
        <f t="shared" si="1"/>
        <v>0.1235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IFERROR(VLOOKUP(A64,[4]Lubelski!$A$7:$D$100,4,FALSE),0)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IFERROR(VLOOKUP(A65,[4]Lubelski!$A$7:$D$100,4,FALSE),0)</f>
        <v>1000</v>
      </c>
      <c r="D65" s="32">
        <f>C65</f>
        <v>1000</v>
      </c>
      <c r="E65" s="28" t="str">
        <f t="shared" si="0"/>
        <v>-</v>
      </c>
      <c r="F65" s="38">
        <f t="shared" si="1"/>
        <v>1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IFERROR(VLOOKUP(A66,[4]Lubelski!$A$7:$D$100,4,FALSE),0)</f>
        <v>5000</v>
      </c>
      <c r="D66" s="86">
        <f>C66-4500</f>
        <v>500</v>
      </c>
      <c r="E66" s="67">
        <f t="shared" si="0"/>
        <v>-4500</v>
      </c>
      <c r="F66" s="87">
        <f t="shared" si="1"/>
        <v>0.1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62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1987229</v>
      </c>
      <c r="D6" s="82">
        <f>D7+D8+D9+D14+D15+D16+D17+D18+D19+D20+D21+D22+D23+D24+D28+D29+D31+D32+D33+D34+D35</f>
        <v>2012813</v>
      </c>
      <c r="E6" s="67">
        <f>IF(C6=D6,"-",D6-C6)</f>
        <v>25584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IFERROR(VLOOKUP(A7,[4]Lubuski!$A$7:$D$100,4,FALSE),0)</f>
        <v>281753</v>
      </c>
      <c r="D7" s="13">
        <f>C7</f>
        <v>281753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IFERROR(VLOOKUP(A8,[4]Lubuski!$A$7:$D$100,4,FALSE),0)</f>
        <v>111258</v>
      </c>
      <c r="D8" s="13">
        <f>C8+2432</f>
        <v>113690</v>
      </c>
      <c r="E8" s="37">
        <f t="shared" si="0"/>
        <v>2432</v>
      </c>
      <c r="F8" s="38">
        <f t="shared" si="1"/>
        <v>1.0219</v>
      </c>
    </row>
    <row r="9" spans="1:6" ht="33" customHeight="1" x14ac:dyDescent="0.2">
      <c r="A9" s="91" t="s">
        <v>3</v>
      </c>
      <c r="B9" s="14" t="s">
        <v>114</v>
      </c>
      <c r="C9" s="30">
        <f>IFERROR(VLOOKUP(A9,[4]Lubuski!$A$7:$D$100,4,FALSE),0)</f>
        <v>1027102</v>
      </c>
      <c r="D9" s="13">
        <f>C9+4608+14855</f>
        <v>1046565</v>
      </c>
      <c r="E9" s="37">
        <f t="shared" si="0"/>
        <v>19463</v>
      </c>
      <c r="F9" s="38">
        <f t="shared" si="1"/>
        <v>1.0188999999999999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IFERROR(VLOOKUP(A10,[4]Lubuski!$A$7:$D$100,4,FALSE),0)</f>
        <v>84280</v>
      </c>
      <c r="D10" s="13">
        <f t="shared" ref="D10:D34" si="2">C10</f>
        <v>84280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IFERROR(VLOOKUP(A11,[4]Lubuski!$A$7:$D$100,4,FALSE),0)</f>
        <v>78007</v>
      </c>
      <c r="D11" s="13">
        <f t="shared" si="2"/>
        <v>78007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IFERROR(VLOOKUP(A12,[4]Lubuski!$A$7:$D$100,4,FALSE),0)</f>
        <v>38889</v>
      </c>
      <c r="D12" s="13">
        <f t="shared" si="2"/>
        <v>38889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IFERROR(VLOOKUP(A13,[4]Lubuski!$A$7:$D$100,4,FALSE),0)</f>
        <v>15940</v>
      </c>
      <c r="D13" s="13">
        <f t="shared" si="2"/>
        <v>15940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IFERROR(VLOOKUP(A14,[4]Lubuski!$A$7:$D$100,4,FALSE),0)</f>
        <v>97585</v>
      </c>
      <c r="D14" s="13">
        <f t="shared" si="2"/>
        <v>97585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IFERROR(VLOOKUP(A15,[4]Lubuski!$A$7:$D$100,4,FALSE),0)</f>
        <v>55557</v>
      </c>
      <c r="D15" s="13">
        <f t="shared" si="2"/>
        <v>55557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IFERROR(VLOOKUP(A16,[4]Lubuski!$A$7:$D$100,4,FALSE),0)</f>
        <v>31269</v>
      </c>
      <c r="D16" s="13">
        <f t="shared" si="2"/>
        <v>31269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IFERROR(VLOOKUP(A17,[4]Lubuski!$A$7:$D$100,4,FALSE),0)</f>
        <v>15992</v>
      </c>
      <c r="D17" s="13">
        <f t="shared" si="2"/>
        <v>15992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IFERROR(VLOOKUP(A18,[4]Lubuski!$A$7:$D$100,4,FALSE),0)</f>
        <v>40282</v>
      </c>
      <c r="D18" s="13">
        <f t="shared" si="2"/>
        <v>40282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IFERROR(VLOOKUP(A19,[4]Lubuski!$A$7:$D$100,4,FALSE),0)</f>
        <v>14400</v>
      </c>
      <c r="D19" s="13">
        <f t="shared" si="2"/>
        <v>14400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IFERROR(VLOOKUP(A20,[4]Lubuski!$A$7:$D$100,4,FALSE),0)</f>
        <v>1793</v>
      </c>
      <c r="D20" s="13">
        <f t="shared" si="2"/>
        <v>1793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IFERROR(VLOOKUP(A21,[4]Lubuski!$A$7:$D$100,4,FALSE),0)</f>
        <v>5581</v>
      </c>
      <c r="D21" s="13">
        <f t="shared" si="2"/>
        <v>5581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IFERROR(VLOOKUP(A22,[4]Lubuski!$A$7:$D$100,4,FALSE),0)</f>
        <v>56879</v>
      </c>
      <c r="D22" s="13">
        <f t="shared" si="2"/>
        <v>56879</v>
      </c>
      <c r="E22" s="37" t="str">
        <f t="shared" si="0"/>
        <v>-</v>
      </c>
      <c r="F22" s="38">
        <f t="shared" si="1"/>
        <v>1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IFERROR(VLOOKUP(A23,[4]Lubuski!$A$7:$D$100,4,FALSE),0)</f>
        <v>28665</v>
      </c>
      <c r="D23" s="13">
        <f>C23+3689</f>
        <v>32354</v>
      </c>
      <c r="E23" s="37">
        <f t="shared" si="0"/>
        <v>3689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IFERROR(VLOOKUP(A24,[4]Lubuski!$A$7:$D$100,4,FALSE),0)</f>
        <v>202785</v>
      </c>
      <c r="D24" s="13">
        <f t="shared" si="2"/>
        <v>202785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IFERROR(VLOOKUP(A25,[4]Lubuski!$A$7:$D$100,4,FALSE),0)</f>
        <v>202235</v>
      </c>
      <c r="D25" s="13">
        <f t="shared" si="2"/>
        <v>202235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IFERROR(VLOOKUP(A26,[4]Lubuski!$A$7:$D$100,4,FALSE),0)</f>
        <v>350</v>
      </c>
      <c r="D26" s="13">
        <f t="shared" si="2"/>
        <v>350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IFERROR(VLOOKUP(A27,[4]Lubuski!$A$7:$D$100,4,FALSE),0)</f>
        <v>200</v>
      </c>
      <c r="D27" s="13">
        <f t="shared" si="2"/>
        <v>200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IFERROR(VLOOKUP(A28,[4]Lubuski!$A$7:$D$100,4,FALSE),0)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IFERROR(VLOOKUP(A29,[4]Lubuski!$A$7:$D$100,4,FALSE),0)</f>
        <v>3765</v>
      </c>
      <c r="D29" s="13">
        <f t="shared" si="2"/>
        <v>3765</v>
      </c>
      <c r="E29" s="37" t="str">
        <f t="shared" si="0"/>
        <v>-</v>
      </c>
      <c r="F29" s="38">
        <f t="shared" si="1"/>
        <v>1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IFERROR(VLOOKUP(A30,[4]Lubuski!$A$7:$D$100,4,FALSE),0)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IFERROR(VLOOKUP(A31,[4]Lubuski!$A$7:$D$100,4,FALSE),0)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IFERROR(VLOOKUP(A32,[4]Lubuski!$A$7:$D$100,4,FALSE),0)</f>
        <v>10363</v>
      </c>
      <c r="D32" s="13">
        <f t="shared" si="2"/>
        <v>10363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IFERROR(VLOOKUP(A33,[4]Lubuski!$A$7:$D$100,4,FALSE),0)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IFERROR(VLOOKUP(A34,[4]Lubuski!$A$7:$D$100,4,FALSE),0)</f>
        <v>1000</v>
      </c>
      <c r="D34" s="13">
        <f t="shared" si="2"/>
        <v>1000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IFERROR(VLOOKUP(A35,[4]Lubuski!$A$7:$D$100,4,FALSE),0)</f>
        <v>1200</v>
      </c>
      <c r="D35" s="13">
        <f>C35</f>
        <v>1200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IFERROR(VLOOKUP(A36,[4]Lubuski!$A$7:$D$100,4,FALSE),0)</f>
        <v>0</v>
      </c>
      <c r="D36" s="36">
        <f>C36</f>
        <v>0</v>
      </c>
      <c r="E36" s="7" t="str">
        <f t="shared" si="0"/>
        <v>-</v>
      </c>
      <c r="F36" s="39" t="str">
        <f t="shared" si="1"/>
        <v>-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IFERROR(VLOOKUP(A37,[4]Lubuski!$A$7:$D$100,4,FALSE),0)</f>
        <v>68216</v>
      </c>
      <c r="D37" s="36">
        <f>C37</f>
        <v>68216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IFERROR(VLOOKUP(A38,[4]Lubuski!$A$7:$D$100,4,FALSE),0)</f>
        <v>14878</v>
      </c>
      <c r="D38" s="36">
        <f>C38</f>
        <v>14878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296732</v>
      </c>
      <c r="D39" s="31">
        <f>D11+D13+D24+D30</f>
        <v>296732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17681</v>
      </c>
      <c r="D40" s="70">
        <f>D41+D42+D43+D51+D53+D59+D60+D58</f>
        <v>17681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IFERROR(VLOOKUP(A41,[4]Lubuski!$A$7:$D$100,4,FALSE),0)</f>
        <v>829</v>
      </c>
      <c r="D41" s="32">
        <f>C41</f>
        <v>829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IFERROR(VLOOKUP(A42,[4]Lubuski!$A$7:$D$100,4,FALSE),0)</f>
        <v>2173</v>
      </c>
      <c r="D42" s="32">
        <f t="shared" ref="D42:D60" si="3">C42</f>
        <v>2173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80</v>
      </c>
      <c r="D43" s="32">
        <f>D44+D46+D47+D48+D49+D50</f>
        <v>80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IFERROR(VLOOKUP(A44,[4]Lubuski!$A$7:$D$100,4,FALSE),0)</f>
        <v>15</v>
      </c>
      <c r="D44" s="32">
        <f t="shared" si="3"/>
        <v>15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IFERROR(VLOOKUP(A45,[4]Lubuski!$A$7:$D$100,4,FALSE),0)</f>
        <v>15</v>
      </c>
      <c r="D45" s="32">
        <f t="shared" si="3"/>
        <v>15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IFERROR(VLOOKUP(A46,[4]Lubuski!$A$7:$D$100,4,FALSE),0)</f>
        <v>0</v>
      </c>
      <c r="D46" s="32">
        <f t="shared" si="3"/>
        <v>0</v>
      </c>
      <c r="E46" s="37" t="str">
        <f t="shared" si="0"/>
        <v>-</v>
      </c>
      <c r="F46" s="38" t="str">
        <f t="shared" si="1"/>
        <v>-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IFERROR(VLOOKUP(A47,[4]Lubuski!$A$7:$D$100,4,FALSE),0)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IFERROR(VLOOKUP(A48,[4]Lubuski!$A$7:$D$100,4,FALSE),0)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IFERROR(VLOOKUP(A49,[4]Lubuski!$A$7:$D$100,4,FALSE),0)</f>
        <v>41</v>
      </c>
      <c r="D49" s="32">
        <f t="shared" si="3"/>
        <v>41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IFERROR(VLOOKUP(A50,[4]Lubuski!$A$7:$D$100,4,FALSE),0)</f>
        <v>24</v>
      </c>
      <c r="D50" s="32">
        <f t="shared" si="3"/>
        <v>24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IFERROR(VLOOKUP(A51,[4]Lubuski!$A$7:$D$100,4,FALSE),0)</f>
        <v>9524</v>
      </c>
      <c r="D51" s="32">
        <f t="shared" si="3"/>
        <v>9524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IFERROR(VLOOKUP(A52,[4]Lubuski!$A$7:$D$100,4,FALSE),0)</f>
        <v>43</v>
      </c>
      <c r="D52" s="32">
        <f t="shared" si="3"/>
        <v>43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2161</v>
      </c>
      <c r="D53" s="28">
        <f>D54+D55+D56+D57</f>
        <v>2161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IFERROR(VLOOKUP(A54,[4]Lubuski!$A$7:$D$100,4,FALSE),0)</f>
        <v>1634</v>
      </c>
      <c r="D54" s="32">
        <f t="shared" si="3"/>
        <v>1634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IFERROR(VLOOKUP(A55,[4]Lubuski!$A$7:$D$100,4,FALSE),0)</f>
        <v>233</v>
      </c>
      <c r="D55" s="32">
        <f t="shared" si="3"/>
        <v>233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IFERROR(VLOOKUP(A56,[4]Lubuski!$A$7:$D$100,4,FALSE),0)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IFERROR(VLOOKUP(A57,[4]Lubuski!$A$7:$D$100,4,FALSE),0)</f>
        <v>294</v>
      </c>
      <c r="D57" s="32">
        <f t="shared" si="3"/>
        <v>294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IFERROR(VLOOKUP(A58,[4]Lubuski!$A$7:$D$100,4,FALSE),0)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IFERROR(VLOOKUP(A59,[4]Lubuski!$A$7:$D$100,4,FALSE),0)</f>
        <v>2600</v>
      </c>
      <c r="D59" s="32">
        <f t="shared" si="3"/>
        <v>2600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IFERROR(VLOOKUP(A60,[4]Lubuski!$A$7:$D$100,4,FALSE),0)</f>
        <v>314</v>
      </c>
      <c r="D60" s="32">
        <f t="shared" si="3"/>
        <v>314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2623</v>
      </c>
      <c r="D61" s="86">
        <f>D62+D63+D64+D65</f>
        <v>6150</v>
      </c>
      <c r="E61" s="67">
        <f t="shared" si="0"/>
        <v>3527</v>
      </c>
      <c r="F61" s="87">
        <f t="shared" si="1"/>
        <v>2.3445999999999998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IFERROR(VLOOKUP(A62,[4]Lubuski!$A$7:$D$100,4,FALSE),0)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IFERROR(VLOOKUP(A63,[4]Lubuski!$A$7:$D$100,4,FALSE),0)</f>
        <v>1523</v>
      </c>
      <c r="D63" s="32">
        <f>C63+3252</f>
        <v>4775</v>
      </c>
      <c r="E63" s="28">
        <f t="shared" si="0"/>
        <v>3252</v>
      </c>
      <c r="F63" s="38">
        <f t="shared" si="1"/>
        <v>3.1353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IFERROR(VLOOKUP(A64,[4]Lubuski!$A$7:$D$100,4,FALSE),0)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IFERROR(VLOOKUP(A65,[4]Lubuski!$A$7:$D$100,4,FALSE),0)</f>
        <v>1100</v>
      </c>
      <c r="D65" s="32">
        <f>C65+275</f>
        <v>1375</v>
      </c>
      <c r="E65" s="28">
        <f t="shared" si="0"/>
        <v>275</v>
      </c>
      <c r="F65" s="38">
        <f t="shared" si="1"/>
        <v>1.25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IFERROR(VLOOKUP(A66,[4]Lubuski!$A$7:$D$100,4,FALSE),0)</f>
        <v>750</v>
      </c>
      <c r="D66" s="86">
        <f>C66+2128</f>
        <v>2878</v>
      </c>
      <c r="E66" s="67">
        <f t="shared" si="0"/>
        <v>2128</v>
      </c>
      <c r="F66" s="87">
        <f t="shared" si="1"/>
        <v>3.8372999999999999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8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63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5307554</v>
      </c>
      <c r="D6" s="82">
        <f>D7+D8+D9+D14+D15+D16+D17+D18+D19+D20+D21+D22+D23+D24+D28+D29+D31+D32+D33+D34+D35</f>
        <v>5375881</v>
      </c>
      <c r="E6" s="67">
        <f>IF(C6=D6,"-",D6-C6)</f>
        <v>68327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IFERROR(VLOOKUP(A7,[4]Łódzki!$A$7:$D$100,4,FALSE),0)</f>
        <v>712426</v>
      </c>
      <c r="D7" s="13">
        <f>C7</f>
        <v>712426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IFERROR(VLOOKUP(A8,[4]Łódzki!$A$7:$D$100,4,FALSE),0)</f>
        <v>275906</v>
      </c>
      <c r="D8" s="13">
        <f>C8+6495+2000</f>
        <v>284401</v>
      </c>
      <c r="E8" s="37">
        <f t="shared" si="0"/>
        <v>8495</v>
      </c>
      <c r="F8" s="38">
        <f t="shared" si="1"/>
        <v>1.0307999999999999</v>
      </c>
    </row>
    <row r="9" spans="1:6" ht="33" customHeight="1" x14ac:dyDescent="0.2">
      <c r="A9" s="91" t="s">
        <v>3</v>
      </c>
      <c r="B9" s="14" t="s">
        <v>114</v>
      </c>
      <c r="C9" s="30">
        <f>IFERROR(VLOOKUP(A9,[4]Łódzki!$A$7:$D$100,4,FALSE),0)</f>
        <v>2834543</v>
      </c>
      <c r="D9" s="13">
        <f>C9+12306+36593</f>
        <v>2883442</v>
      </c>
      <c r="E9" s="37">
        <f t="shared" si="0"/>
        <v>48899</v>
      </c>
      <c r="F9" s="38">
        <f t="shared" si="1"/>
        <v>1.0173000000000001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IFERROR(VLOOKUP(A10,[4]Łódzki!$A$7:$D$100,4,FALSE),0)</f>
        <v>282817</v>
      </c>
      <c r="D10" s="13">
        <f t="shared" ref="D10:D34" si="2">C10</f>
        <v>282817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IFERROR(VLOOKUP(A11,[4]Łódzki!$A$7:$D$100,4,FALSE),0)</f>
        <v>257600</v>
      </c>
      <c r="D11" s="13">
        <f t="shared" si="2"/>
        <v>257600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IFERROR(VLOOKUP(A12,[4]Łódzki!$A$7:$D$100,4,FALSE),0)</f>
        <v>93752</v>
      </c>
      <c r="D12" s="13">
        <f t="shared" si="2"/>
        <v>93752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IFERROR(VLOOKUP(A13,[4]Łódzki!$A$7:$D$100,4,FALSE),0)</f>
        <v>38885</v>
      </c>
      <c r="D13" s="13">
        <f t="shared" si="2"/>
        <v>38885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IFERROR(VLOOKUP(A14,[4]Łódzki!$A$7:$D$100,4,FALSE),0)</f>
        <v>199913</v>
      </c>
      <c r="D14" s="13">
        <f t="shared" si="2"/>
        <v>199913</v>
      </c>
      <c r="E14" s="37" t="str">
        <f t="shared" si="0"/>
        <v>-</v>
      </c>
      <c r="F14" s="38">
        <f t="shared" si="1"/>
        <v>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IFERROR(VLOOKUP(A15,[4]Łódzki!$A$7:$D$100,4,FALSE),0)</f>
        <v>133942</v>
      </c>
      <c r="D15" s="13">
        <f t="shared" si="2"/>
        <v>133942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IFERROR(VLOOKUP(A16,[4]Łódzki!$A$7:$D$100,4,FALSE),0)</f>
        <v>77698</v>
      </c>
      <c r="D16" s="13">
        <f t="shared" si="2"/>
        <v>77698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IFERROR(VLOOKUP(A17,[4]Łódzki!$A$7:$D$100,4,FALSE),0)</f>
        <v>36871</v>
      </c>
      <c r="D17" s="13">
        <f t="shared" si="2"/>
        <v>36871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IFERROR(VLOOKUP(A18,[4]Łódzki!$A$7:$D$100,4,FALSE),0)</f>
        <v>124292</v>
      </c>
      <c r="D18" s="13">
        <f t="shared" si="2"/>
        <v>124292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IFERROR(VLOOKUP(A19,[4]Łódzki!$A$7:$D$100,4,FALSE),0)</f>
        <v>44500</v>
      </c>
      <c r="D19" s="13">
        <f t="shared" si="2"/>
        <v>44500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IFERROR(VLOOKUP(A20,[4]Łódzki!$A$7:$D$100,4,FALSE),0)</f>
        <v>2506</v>
      </c>
      <c r="D20" s="13">
        <f t="shared" si="2"/>
        <v>2506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IFERROR(VLOOKUP(A21,[4]Łódzki!$A$7:$D$100,4,FALSE),0)</f>
        <v>12258</v>
      </c>
      <c r="D21" s="13">
        <f t="shared" si="2"/>
        <v>12258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IFERROR(VLOOKUP(A22,[4]Łódzki!$A$7:$D$100,4,FALSE),0)</f>
        <v>145182</v>
      </c>
      <c r="D22" s="13">
        <f>C22+2000</f>
        <v>147182</v>
      </c>
      <c r="E22" s="37">
        <f t="shared" si="0"/>
        <v>2000</v>
      </c>
      <c r="F22" s="38">
        <f t="shared" si="1"/>
        <v>1.0138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IFERROR(VLOOKUP(A23,[4]Łódzki!$A$7:$D$100,4,FALSE),0)</f>
        <v>69421</v>
      </c>
      <c r="D23" s="13">
        <f>C23+8933</f>
        <v>78354</v>
      </c>
      <c r="E23" s="37">
        <f t="shared" si="0"/>
        <v>8933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IFERROR(VLOOKUP(A24,[4]Łódzki!$A$7:$D$100,4,FALSE),0)</f>
        <v>612383</v>
      </c>
      <c r="D24" s="13">
        <f>C24</f>
        <v>612383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IFERROR(VLOOKUP(A25,[4]Łódzki!$A$7:$D$100,4,FALSE),0)</f>
        <v>610670</v>
      </c>
      <c r="D25" s="13">
        <f t="shared" si="2"/>
        <v>610670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IFERROR(VLOOKUP(A26,[4]Łódzki!$A$7:$D$100,4,FALSE),0)</f>
        <v>889</v>
      </c>
      <c r="D26" s="13">
        <f t="shared" si="2"/>
        <v>889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IFERROR(VLOOKUP(A27,[4]Łódzki!$A$7:$D$100,4,FALSE),0)</f>
        <v>824</v>
      </c>
      <c r="D27" s="13">
        <f t="shared" si="2"/>
        <v>824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IFERROR(VLOOKUP(A28,[4]Łódzki!$A$7:$D$100,4,FALSE),0)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IFERROR(VLOOKUP(A29,[4]Łódzki!$A$7:$D$100,4,FALSE),0)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IFERROR(VLOOKUP(A30,[4]Łódzki!$A$7:$D$100,4,FALSE),0)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IFERROR(VLOOKUP(A31,[4]Łódzki!$A$7:$D$100,4,FALSE),0)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IFERROR(VLOOKUP(A32,[4]Łódzki!$A$7:$D$100,4,FALSE),0)</f>
        <v>16083</v>
      </c>
      <c r="D32" s="13">
        <f t="shared" si="2"/>
        <v>16083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IFERROR(VLOOKUP(A33,[4]Łódzki!$A$7:$D$100,4,FALSE),0)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IFERROR(VLOOKUP(A34,[4]Łódzki!$A$7:$D$100,4,FALSE),0)</f>
        <v>5500</v>
      </c>
      <c r="D34" s="13">
        <f t="shared" si="2"/>
        <v>5500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IFERROR(VLOOKUP(A35,[4]Łódzki!$A$7:$D$100,4,FALSE),0)</f>
        <v>4130</v>
      </c>
      <c r="D35" s="13">
        <f>C35</f>
        <v>4130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IFERROR(VLOOKUP(A36,[4]Łódzki!$A$7:$D$100,4,FALSE),0)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IFERROR(VLOOKUP(A37,[4]Łódzki!$A$7:$D$100,4,FALSE),0)</f>
        <v>130083</v>
      </c>
      <c r="D37" s="36">
        <f>C37</f>
        <v>130083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IFERROR(VLOOKUP(A38,[4]Łódzki!$A$7:$D$100,4,FALSE),0)</f>
        <v>45730</v>
      </c>
      <c r="D38" s="36">
        <f>C38</f>
        <v>45730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908868</v>
      </c>
      <c r="D39" s="31">
        <f>D11+D13+D24+D30</f>
        <v>908868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32539</v>
      </c>
      <c r="D40" s="70">
        <f>D41+D42+D43+D51+D53+D59+D60+D58</f>
        <v>32539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IFERROR(VLOOKUP(A41,[4]Łódzki!$A$7:$D$100,4,FALSE),0)</f>
        <v>1279</v>
      </c>
      <c r="D41" s="32">
        <f>C41</f>
        <v>1279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IFERROR(VLOOKUP(A42,[4]Łódzki!$A$7:$D$100,4,FALSE),0)</f>
        <v>5394</v>
      </c>
      <c r="D42" s="32">
        <f t="shared" ref="D42:D60" si="3">C42</f>
        <v>5394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273</v>
      </c>
      <c r="D43" s="32">
        <f>D44+D46+D47+D48+D49+D50</f>
        <v>273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IFERROR(VLOOKUP(A44,[4]Łódzki!$A$7:$D$100,4,FALSE),0)</f>
        <v>11</v>
      </c>
      <c r="D44" s="32">
        <f t="shared" si="3"/>
        <v>11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IFERROR(VLOOKUP(A45,[4]Łódzki!$A$7:$D$100,4,FALSE),0)</f>
        <v>11</v>
      </c>
      <c r="D45" s="32">
        <f t="shared" si="3"/>
        <v>11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IFERROR(VLOOKUP(A46,[4]Łódzki!$A$7:$D$100,4,FALSE),0)</f>
        <v>10</v>
      </c>
      <c r="D46" s="32">
        <f t="shared" si="3"/>
        <v>10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IFERROR(VLOOKUP(A47,[4]Łódzki!$A$7:$D$100,4,FALSE),0)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IFERROR(VLOOKUP(A48,[4]Łódzki!$A$7:$D$100,4,FALSE),0)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IFERROR(VLOOKUP(A49,[4]Łódzki!$A$7:$D$100,4,FALSE),0)</f>
        <v>248</v>
      </c>
      <c r="D49" s="32">
        <f t="shared" si="3"/>
        <v>248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IFERROR(VLOOKUP(A50,[4]Łódzki!$A$7:$D$100,4,FALSE),0)</f>
        <v>4</v>
      </c>
      <c r="D50" s="32">
        <f t="shared" si="3"/>
        <v>4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IFERROR(VLOOKUP(A51,[4]Łódzki!$A$7:$D$100,4,FALSE),0)</f>
        <v>19220</v>
      </c>
      <c r="D51" s="32">
        <f t="shared" si="3"/>
        <v>19220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IFERROR(VLOOKUP(A52,[4]Łódzki!$A$7:$D$100,4,FALSE),0)</f>
        <v>90</v>
      </c>
      <c r="D52" s="32">
        <f t="shared" si="3"/>
        <v>90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4310</v>
      </c>
      <c r="D53" s="28">
        <f>D54+D55+D56+D57</f>
        <v>4310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IFERROR(VLOOKUP(A54,[4]Łódzki!$A$7:$D$100,4,FALSE),0)</f>
        <v>3300</v>
      </c>
      <c r="D54" s="32">
        <f t="shared" si="3"/>
        <v>3300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IFERROR(VLOOKUP(A55,[4]Łódzki!$A$7:$D$100,4,FALSE),0)</f>
        <v>471</v>
      </c>
      <c r="D55" s="32">
        <f t="shared" si="3"/>
        <v>471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IFERROR(VLOOKUP(A56,[4]Łódzki!$A$7:$D$100,4,FALSE),0)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IFERROR(VLOOKUP(A57,[4]Łódzki!$A$7:$D$100,4,FALSE),0)</f>
        <v>539</v>
      </c>
      <c r="D57" s="32">
        <f t="shared" si="3"/>
        <v>539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IFERROR(VLOOKUP(A58,[4]Łódzki!$A$7:$D$100,4,FALSE),0)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IFERROR(VLOOKUP(A59,[4]Łódzki!$A$7:$D$100,4,FALSE),0)</f>
        <v>1780</v>
      </c>
      <c r="D59" s="32">
        <f t="shared" si="3"/>
        <v>1780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IFERROR(VLOOKUP(A60,[4]Łódzki!$A$7:$D$100,4,FALSE),0)</f>
        <v>283</v>
      </c>
      <c r="D60" s="32">
        <f t="shared" si="3"/>
        <v>283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16800</v>
      </c>
      <c r="D61" s="86">
        <f>D62+D63+D64+D65</f>
        <v>15290</v>
      </c>
      <c r="E61" s="67">
        <f t="shared" si="0"/>
        <v>-1510</v>
      </c>
      <c r="F61" s="87">
        <f t="shared" si="1"/>
        <v>0.91010000000000002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IFERROR(VLOOKUP(A62,[4]Łódzki!$A$7:$D$100,4,FALSE),0)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IFERROR(VLOOKUP(A63,[4]Łódzki!$A$7:$D$100,4,FALSE),0)</f>
        <v>14800</v>
      </c>
      <c r="D63" s="32">
        <f>C63-470</f>
        <v>14330</v>
      </c>
      <c r="E63" s="28">
        <f t="shared" si="0"/>
        <v>-470</v>
      </c>
      <c r="F63" s="38">
        <f t="shared" si="1"/>
        <v>0.96819999999999995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IFERROR(VLOOKUP(A64,[4]Łódzki!$A$7:$D$100,4,FALSE),0)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IFERROR(VLOOKUP(A65,[4]Łódzki!$A$7:$D$100,4,FALSE),0)</f>
        <v>2000</v>
      </c>
      <c r="D65" s="32">
        <f>C65-1040</f>
        <v>960</v>
      </c>
      <c r="E65" s="28">
        <f t="shared" si="0"/>
        <v>-1040</v>
      </c>
      <c r="F65" s="38">
        <f t="shared" si="1"/>
        <v>0.48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IFERROR(VLOOKUP(A66,[4]Łódzki!$A$7:$D$100,4,FALSE),0)</f>
        <v>5000</v>
      </c>
      <c r="D66" s="86">
        <f>C66</f>
        <v>5000</v>
      </c>
      <c r="E66" s="67" t="str">
        <f t="shared" si="0"/>
        <v>-</v>
      </c>
      <c r="F66" s="87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6"/>
  <sheetViews>
    <sheetView showGridLines="0" view="pageBreakPreview" zoomScale="55" zoomScaleNormal="70" zoomScaleSheetLayoutView="55" workbookViewId="0">
      <pane xSplit="1" ySplit="6" topLeftCell="B16" activePane="bottomRight" state="frozen"/>
      <selection activeCell="L43" sqref="L43"/>
      <selection pane="topRight" activeCell="L43" sqref="L43"/>
      <selection pane="bottomLeft" activeCell="L43" sqref="L43"/>
      <selection pane="bottomRight" activeCell="L43" sqref="L43"/>
    </sheetView>
  </sheetViews>
  <sheetFormatPr defaultRowHeight="12.75" x14ac:dyDescent="0.2"/>
  <cols>
    <col min="1" max="1" width="15.5703125" style="55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4.25" customHeight="1" x14ac:dyDescent="0.2">
      <c r="A1" s="112" t="str">
        <f>NFZ!A1</f>
        <v>ZMIANA PLANU FINANSOWEGO NARODOWEGO FUNDUSZU ZDROWIA NA 2018 ROK Z DNIA 14 CZERWCA 2018 R.</v>
      </c>
      <c r="B1" s="112"/>
      <c r="C1" s="112"/>
      <c r="D1" s="112"/>
      <c r="E1" s="112"/>
      <c r="F1" s="112"/>
    </row>
    <row r="2" spans="1:6" s="22" customFormat="1" ht="33" customHeight="1" x14ac:dyDescent="0.2">
      <c r="A2" s="53" t="s">
        <v>64</v>
      </c>
      <c r="B2" s="53"/>
      <c r="C2" s="54"/>
    </row>
    <row r="3" spans="1:6" ht="33" customHeight="1" x14ac:dyDescent="0.25">
      <c r="A3" s="89"/>
      <c r="B3" s="5"/>
      <c r="C3" s="34"/>
      <c r="D3" s="34"/>
      <c r="E3" s="34" t="s">
        <v>138</v>
      </c>
      <c r="F3" s="6"/>
    </row>
    <row r="4" spans="1:6" s="55" customFormat="1" ht="65.099999999999994" customHeight="1" x14ac:dyDescent="0.2">
      <c r="A4" s="61" t="s">
        <v>115</v>
      </c>
      <c r="B4" s="61" t="s">
        <v>52</v>
      </c>
      <c r="C4" s="62" t="s">
        <v>195</v>
      </c>
      <c r="D4" s="62" t="s">
        <v>167</v>
      </c>
      <c r="E4" s="63" t="s">
        <v>168</v>
      </c>
      <c r="F4" s="63" t="s">
        <v>169</v>
      </c>
    </row>
    <row r="5" spans="1:6" s="56" customFormat="1" ht="14.25" x14ac:dyDescent="0.2">
      <c r="A5" s="64">
        <v>1</v>
      </c>
      <c r="B5" s="65">
        <v>2</v>
      </c>
      <c r="C5" s="64">
        <v>3</v>
      </c>
      <c r="D5" s="65">
        <v>4</v>
      </c>
      <c r="E5" s="64">
        <v>5</v>
      </c>
      <c r="F5" s="65">
        <v>6</v>
      </c>
    </row>
    <row r="6" spans="1:6" ht="30" customHeight="1" x14ac:dyDescent="0.2">
      <c r="A6" s="90" t="s">
        <v>0</v>
      </c>
      <c r="B6" s="43" t="s">
        <v>198</v>
      </c>
      <c r="C6" s="82">
        <f>C7+C8+C9+C14+C15+C16+C17+C18+C19+C20+C21+C22+C23+C24+C28+C29+C31+C32+C33+C34+C35</f>
        <v>6772940</v>
      </c>
      <c r="D6" s="82">
        <f>D7+D8+D9+D14+D15+D16+D17+D18+D19+D20+D21+D22+D23+D24+D28+D29+D31+D32+D33+D34+D35</f>
        <v>6859919</v>
      </c>
      <c r="E6" s="67">
        <f>IF(C6=D6,"-",D6-C6)</f>
        <v>86979</v>
      </c>
      <c r="F6" s="83">
        <f>IF(C6=0,"-",D6/C6)</f>
        <v>1.0129999999999999</v>
      </c>
    </row>
    <row r="7" spans="1:6" ht="33" customHeight="1" x14ac:dyDescent="0.2">
      <c r="A7" s="91" t="s">
        <v>1</v>
      </c>
      <c r="B7" s="14" t="s">
        <v>116</v>
      </c>
      <c r="C7" s="30">
        <f>IFERROR(VLOOKUP(A7,[4]Małopolski!$A$7:$D$100,4,FALSE),0)</f>
        <v>968060</v>
      </c>
      <c r="D7" s="13">
        <f>C7</f>
        <v>968060</v>
      </c>
      <c r="E7" s="37" t="str">
        <f t="shared" ref="E7:E66" si="0">IF(C7=D7,"-",D7-C7)</f>
        <v>-</v>
      </c>
      <c r="F7" s="38">
        <f t="shared" ref="F7:F66" si="1">IF(C7=0,"-",D7/C7)</f>
        <v>1</v>
      </c>
    </row>
    <row r="8" spans="1:6" ht="33" customHeight="1" x14ac:dyDescent="0.2">
      <c r="A8" s="91" t="s">
        <v>2</v>
      </c>
      <c r="B8" s="14" t="s">
        <v>117</v>
      </c>
      <c r="C8" s="30">
        <f>IFERROR(VLOOKUP(A8,[4]Małopolski!$A$7:$D$100,4,FALSE),0)</f>
        <v>391735</v>
      </c>
      <c r="D8" s="13">
        <f>C8+8268</f>
        <v>400003</v>
      </c>
      <c r="E8" s="37">
        <f t="shared" si="0"/>
        <v>8268</v>
      </c>
      <c r="F8" s="38">
        <f t="shared" si="1"/>
        <v>1.0210999999999999</v>
      </c>
    </row>
    <row r="9" spans="1:6" ht="33" customHeight="1" x14ac:dyDescent="0.2">
      <c r="A9" s="91" t="s">
        <v>3</v>
      </c>
      <c r="B9" s="14" t="s">
        <v>114</v>
      </c>
      <c r="C9" s="30">
        <f>IFERROR(VLOOKUP(A9,[4]Małopolski!$A$7:$D$100,4,FALSE),0)</f>
        <v>3395104</v>
      </c>
      <c r="D9" s="13">
        <f>C9+15665+49501</f>
        <v>3460270</v>
      </c>
      <c r="E9" s="37">
        <f t="shared" si="0"/>
        <v>65166</v>
      </c>
      <c r="F9" s="38">
        <f t="shared" si="1"/>
        <v>1.0192000000000001</v>
      </c>
    </row>
    <row r="10" spans="1:6" ht="31.5" customHeight="1" x14ac:dyDescent="0.2">
      <c r="A10" s="92" t="s">
        <v>54</v>
      </c>
      <c r="B10" s="44" t="s">
        <v>199</v>
      </c>
      <c r="C10" s="30">
        <f>IFERROR(VLOOKUP(A10,[4]Małopolski!$A$7:$D$100,4,FALSE),0)</f>
        <v>335287</v>
      </c>
      <c r="D10" s="13">
        <f t="shared" ref="D10:D34" si="2">C10</f>
        <v>335287</v>
      </c>
      <c r="E10" s="37" t="str">
        <f t="shared" si="0"/>
        <v>-</v>
      </c>
      <c r="F10" s="38">
        <f t="shared" si="1"/>
        <v>1</v>
      </c>
    </row>
    <row r="11" spans="1:6" ht="31.5" customHeight="1" x14ac:dyDescent="0.2">
      <c r="A11" s="92" t="s">
        <v>139</v>
      </c>
      <c r="B11" s="44" t="s">
        <v>142</v>
      </c>
      <c r="C11" s="30">
        <f>IFERROR(VLOOKUP(A11,[4]Małopolski!$A$7:$D$100,4,FALSE),0)</f>
        <v>308108</v>
      </c>
      <c r="D11" s="13">
        <f t="shared" si="2"/>
        <v>308108</v>
      </c>
      <c r="E11" s="37" t="str">
        <f t="shared" si="0"/>
        <v>-</v>
      </c>
      <c r="F11" s="38">
        <f t="shared" si="1"/>
        <v>1</v>
      </c>
    </row>
    <row r="12" spans="1:6" ht="31.5" customHeight="1" x14ac:dyDescent="0.2">
      <c r="A12" s="92" t="s">
        <v>140</v>
      </c>
      <c r="B12" s="44" t="s">
        <v>143</v>
      </c>
      <c r="C12" s="30">
        <f>IFERROR(VLOOKUP(A12,[4]Małopolski!$A$7:$D$100,4,FALSE),0)</f>
        <v>102794</v>
      </c>
      <c r="D12" s="13">
        <f t="shared" si="2"/>
        <v>102794</v>
      </c>
      <c r="E12" s="37" t="str">
        <f t="shared" si="0"/>
        <v>-</v>
      </c>
      <c r="F12" s="38">
        <f t="shared" si="1"/>
        <v>1</v>
      </c>
    </row>
    <row r="13" spans="1:6" ht="31.5" customHeight="1" x14ac:dyDescent="0.2">
      <c r="A13" s="92" t="s">
        <v>141</v>
      </c>
      <c r="B13" s="44" t="s">
        <v>144</v>
      </c>
      <c r="C13" s="30">
        <f>IFERROR(VLOOKUP(A13,[4]Małopolski!$A$7:$D$100,4,FALSE),0)</f>
        <v>52652</v>
      </c>
      <c r="D13" s="13">
        <f t="shared" si="2"/>
        <v>52652</v>
      </c>
      <c r="E13" s="37" t="str">
        <f t="shared" si="0"/>
        <v>-</v>
      </c>
      <c r="F13" s="38">
        <f t="shared" si="1"/>
        <v>1</v>
      </c>
    </row>
    <row r="14" spans="1:6" ht="33" customHeight="1" x14ac:dyDescent="0.2">
      <c r="A14" s="91" t="s">
        <v>4</v>
      </c>
      <c r="B14" s="14" t="s">
        <v>122</v>
      </c>
      <c r="C14" s="30">
        <f>IFERROR(VLOOKUP(A14,[4]Małopolski!$A$7:$D$100,4,FALSE),0)</f>
        <v>217480</v>
      </c>
      <c r="D14" s="13">
        <f>C14+250</f>
        <v>217730</v>
      </c>
      <c r="E14" s="37">
        <f t="shared" si="0"/>
        <v>250</v>
      </c>
      <c r="F14" s="38">
        <f t="shared" si="1"/>
        <v>1.0011000000000001</v>
      </c>
    </row>
    <row r="15" spans="1:6" ht="33" customHeight="1" x14ac:dyDescent="0.2">
      <c r="A15" s="91" t="s">
        <v>5</v>
      </c>
      <c r="B15" s="14" t="s">
        <v>118</v>
      </c>
      <c r="C15" s="30">
        <f>IFERROR(VLOOKUP(A15,[4]Małopolski!$A$7:$D$100,4,FALSE),0)</f>
        <v>232087</v>
      </c>
      <c r="D15" s="13">
        <f t="shared" si="2"/>
        <v>232087</v>
      </c>
      <c r="E15" s="37" t="str">
        <f t="shared" si="0"/>
        <v>-</v>
      </c>
      <c r="F15" s="38">
        <f t="shared" si="1"/>
        <v>1</v>
      </c>
    </row>
    <row r="16" spans="1:6" ht="33" customHeight="1" x14ac:dyDescent="0.2">
      <c r="A16" s="91" t="s">
        <v>6</v>
      </c>
      <c r="B16" s="14" t="s">
        <v>124</v>
      </c>
      <c r="C16" s="30">
        <f>IFERROR(VLOOKUP(A16,[4]Małopolski!$A$7:$D$100,4,FALSE),0)</f>
        <v>169064</v>
      </c>
      <c r="D16" s="13">
        <f t="shared" si="2"/>
        <v>169064</v>
      </c>
      <c r="E16" s="37" t="str">
        <f t="shared" si="0"/>
        <v>-</v>
      </c>
      <c r="F16" s="38">
        <f t="shared" si="1"/>
        <v>1</v>
      </c>
    </row>
    <row r="17" spans="1:6" ht="33" customHeight="1" x14ac:dyDescent="0.2">
      <c r="A17" s="91" t="s">
        <v>7</v>
      </c>
      <c r="B17" s="14" t="s">
        <v>123</v>
      </c>
      <c r="C17" s="30">
        <f>IFERROR(VLOOKUP(A17,[4]Małopolski!$A$7:$D$100,4,FALSE),0)</f>
        <v>71395</v>
      </c>
      <c r="D17" s="13">
        <f t="shared" si="2"/>
        <v>71395</v>
      </c>
      <c r="E17" s="37" t="str">
        <f t="shared" si="0"/>
        <v>-</v>
      </c>
      <c r="F17" s="38">
        <f t="shared" si="1"/>
        <v>1</v>
      </c>
    </row>
    <row r="18" spans="1:6" ht="33" customHeight="1" x14ac:dyDescent="0.2">
      <c r="A18" s="91" t="s">
        <v>8</v>
      </c>
      <c r="B18" s="14" t="s">
        <v>119</v>
      </c>
      <c r="C18" s="30">
        <f>IFERROR(VLOOKUP(A18,[4]Małopolski!$A$7:$D$100,4,FALSE),0)</f>
        <v>205320</v>
      </c>
      <c r="D18" s="13">
        <f t="shared" si="2"/>
        <v>205320</v>
      </c>
      <c r="E18" s="37" t="str">
        <f t="shared" si="0"/>
        <v>-</v>
      </c>
      <c r="F18" s="38">
        <f t="shared" si="1"/>
        <v>1</v>
      </c>
    </row>
    <row r="19" spans="1:6" ht="33" customHeight="1" x14ac:dyDescent="0.2">
      <c r="A19" s="91" t="s">
        <v>9</v>
      </c>
      <c r="B19" s="14" t="s">
        <v>120</v>
      </c>
      <c r="C19" s="30">
        <f>IFERROR(VLOOKUP(A19,[4]Małopolski!$A$7:$D$100,4,FALSE),0)</f>
        <v>54000</v>
      </c>
      <c r="D19" s="13">
        <f t="shared" si="2"/>
        <v>54000</v>
      </c>
      <c r="E19" s="37" t="str">
        <f t="shared" si="0"/>
        <v>-</v>
      </c>
      <c r="F19" s="38">
        <f t="shared" si="1"/>
        <v>1</v>
      </c>
    </row>
    <row r="20" spans="1:6" ht="33" customHeight="1" x14ac:dyDescent="0.2">
      <c r="A20" s="91" t="s">
        <v>10</v>
      </c>
      <c r="B20" s="14" t="s">
        <v>125</v>
      </c>
      <c r="C20" s="30">
        <f>IFERROR(VLOOKUP(A20,[4]Małopolski!$A$7:$D$100,4,FALSE),0)</f>
        <v>1876</v>
      </c>
      <c r="D20" s="13">
        <f t="shared" si="2"/>
        <v>1876</v>
      </c>
      <c r="E20" s="37" t="str">
        <f t="shared" si="0"/>
        <v>-</v>
      </c>
      <c r="F20" s="38">
        <f t="shared" si="1"/>
        <v>1</v>
      </c>
    </row>
    <row r="21" spans="1:6" ht="46.5" customHeight="1" x14ac:dyDescent="0.2">
      <c r="A21" s="91" t="s">
        <v>11</v>
      </c>
      <c r="B21" s="14" t="s">
        <v>121</v>
      </c>
      <c r="C21" s="30">
        <f>IFERROR(VLOOKUP(A21,[4]Małopolski!$A$7:$D$100,4,FALSE),0)</f>
        <v>14982</v>
      </c>
      <c r="D21" s="13">
        <f t="shared" si="2"/>
        <v>14982</v>
      </c>
      <c r="E21" s="37" t="str">
        <f t="shared" si="0"/>
        <v>-</v>
      </c>
      <c r="F21" s="38">
        <f t="shared" si="1"/>
        <v>1</v>
      </c>
    </row>
    <row r="22" spans="1:6" ht="33" customHeight="1" x14ac:dyDescent="0.2">
      <c r="A22" s="91" t="s">
        <v>12</v>
      </c>
      <c r="B22" s="14" t="s">
        <v>161</v>
      </c>
      <c r="C22" s="30">
        <f>IFERROR(VLOOKUP(A22,[4]Małopolski!$A$7:$D$100,4,FALSE),0)</f>
        <v>208855</v>
      </c>
      <c r="D22" s="13">
        <f>C22+3000</f>
        <v>211855</v>
      </c>
      <c r="E22" s="37">
        <f t="shared" si="0"/>
        <v>3000</v>
      </c>
      <c r="F22" s="38">
        <f t="shared" si="1"/>
        <v>1.0144</v>
      </c>
    </row>
    <row r="23" spans="1:6" ht="33" customHeight="1" x14ac:dyDescent="0.2">
      <c r="A23" s="91" t="s">
        <v>13</v>
      </c>
      <c r="B23" s="14" t="s">
        <v>145</v>
      </c>
      <c r="C23" s="30">
        <f>IFERROR(VLOOKUP(A23,[4]Małopolski!$A$7:$D$100,4,FALSE),0)</f>
        <v>80000</v>
      </c>
      <c r="D23" s="13">
        <f>C23+10295</f>
        <v>90295</v>
      </c>
      <c r="E23" s="37">
        <f t="shared" si="0"/>
        <v>10295</v>
      </c>
      <c r="F23" s="38">
        <f t="shared" si="1"/>
        <v>1.1287</v>
      </c>
    </row>
    <row r="24" spans="1:6" ht="33" customHeight="1" x14ac:dyDescent="0.2">
      <c r="A24" s="93" t="s">
        <v>14</v>
      </c>
      <c r="B24" s="29" t="s">
        <v>177</v>
      </c>
      <c r="C24" s="30">
        <f>IFERROR(VLOOKUP(A24,[4]Małopolski!$A$7:$D$100,4,FALSE),0)</f>
        <v>727678</v>
      </c>
      <c r="D24" s="13">
        <f t="shared" si="2"/>
        <v>727678</v>
      </c>
      <c r="E24" s="37" t="str">
        <f t="shared" si="0"/>
        <v>-</v>
      </c>
      <c r="F24" s="38">
        <f t="shared" si="1"/>
        <v>1</v>
      </c>
    </row>
    <row r="25" spans="1:6" ht="37.5" x14ac:dyDescent="0.2">
      <c r="A25" s="92" t="s">
        <v>126</v>
      </c>
      <c r="B25" s="44" t="s">
        <v>147</v>
      </c>
      <c r="C25" s="30">
        <f>IFERROR(VLOOKUP(A25,[4]Małopolski!$A$7:$D$100,4,FALSE),0)</f>
        <v>723678</v>
      </c>
      <c r="D25" s="13">
        <f t="shared" si="2"/>
        <v>723678</v>
      </c>
      <c r="E25" s="37" t="str">
        <f t="shared" si="0"/>
        <v>-</v>
      </c>
      <c r="F25" s="38">
        <f t="shared" si="1"/>
        <v>1</v>
      </c>
    </row>
    <row r="26" spans="1:6" ht="31.5" customHeight="1" x14ac:dyDescent="0.2">
      <c r="A26" s="92" t="s">
        <v>146</v>
      </c>
      <c r="B26" s="44" t="s">
        <v>149</v>
      </c>
      <c r="C26" s="30">
        <f>IFERROR(VLOOKUP(A26,[4]Małopolski!$A$7:$D$100,4,FALSE),0)</f>
        <v>3000</v>
      </c>
      <c r="D26" s="13">
        <f t="shared" si="2"/>
        <v>3000</v>
      </c>
      <c r="E26" s="37" t="str">
        <f t="shared" si="0"/>
        <v>-</v>
      </c>
      <c r="F26" s="38">
        <f t="shared" si="1"/>
        <v>1</v>
      </c>
    </row>
    <row r="27" spans="1:6" ht="37.5" x14ac:dyDescent="0.2">
      <c r="A27" s="92" t="s">
        <v>150</v>
      </c>
      <c r="B27" s="44" t="s">
        <v>148</v>
      </c>
      <c r="C27" s="30">
        <f>IFERROR(VLOOKUP(A27,[4]Małopolski!$A$7:$D$100,4,FALSE),0)</f>
        <v>1000</v>
      </c>
      <c r="D27" s="13">
        <f t="shared" si="2"/>
        <v>1000</v>
      </c>
      <c r="E27" s="37" t="str">
        <f t="shared" si="0"/>
        <v>-</v>
      </c>
      <c r="F27" s="38">
        <f t="shared" si="1"/>
        <v>1</v>
      </c>
    </row>
    <row r="28" spans="1:6" ht="33" customHeight="1" x14ac:dyDescent="0.2">
      <c r="A28" s="94" t="s">
        <v>15</v>
      </c>
      <c r="B28" s="15" t="s">
        <v>110</v>
      </c>
      <c r="C28" s="30">
        <f>IFERROR(VLOOKUP(A28,[4]Małopolski!$A$7:$D$100,4,FALSE),0)</f>
        <v>0</v>
      </c>
      <c r="D28" s="13">
        <f t="shared" si="2"/>
        <v>0</v>
      </c>
      <c r="E28" s="37" t="str">
        <f t="shared" si="0"/>
        <v>-</v>
      </c>
      <c r="F28" s="38" t="str">
        <f t="shared" si="1"/>
        <v>-</v>
      </c>
    </row>
    <row r="29" spans="1:6" ht="33" customHeight="1" x14ac:dyDescent="0.2">
      <c r="A29" s="94" t="s">
        <v>107</v>
      </c>
      <c r="B29" s="16" t="s">
        <v>151</v>
      </c>
      <c r="C29" s="30">
        <f>IFERROR(VLOOKUP(A29,[4]Małopolski!$A$7:$D$100,4,FALSE),0)</f>
        <v>0</v>
      </c>
      <c r="D29" s="13">
        <f t="shared" si="2"/>
        <v>0</v>
      </c>
      <c r="E29" s="37" t="str">
        <f t="shared" si="0"/>
        <v>-</v>
      </c>
      <c r="F29" s="38" t="str">
        <f t="shared" si="1"/>
        <v>-</v>
      </c>
    </row>
    <row r="30" spans="1:6" ht="31.5" customHeight="1" x14ac:dyDescent="0.2">
      <c r="A30" s="92" t="s">
        <v>152</v>
      </c>
      <c r="B30" s="44" t="s">
        <v>163</v>
      </c>
      <c r="C30" s="30">
        <f>IFERROR(VLOOKUP(A30,[4]Małopolski!$A$7:$D$100,4,FALSE),0)</f>
        <v>0</v>
      </c>
      <c r="D30" s="13">
        <f t="shared" si="2"/>
        <v>0</v>
      </c>
      <c r="E30" s="37" t="str">
        <f t="shared" si="0"/>
        <v>-</v>
      </c>
      <c r="F30" s="38" t="str">
        <f t="shared" si="1"/>
        <v>-</v>
      </c>
    </row>
    <row r="31" spans="1:6" ht="33" customHeight="1" x14ac:dyDescent="0.2">
      <c r="A31" s="94" t="s">
        <v>108</v>
      </c>
      <c r="B31" s="16" t="s">
        <v>111</v>
      </c>
      <c r="C31" s="30">
        <f>IFERROR(VLOOKUP(A31,[4]Małopolski!$A$7:$D$100,4,FALSE),0)</f>
        <v>0</v>
      </c>
      <c r="D31" s="13">
        <f t="shared" si="2"/>
        <v>0</v>
      </c>
      <c r="E31" s="37" t="str">
        <f t="shared" si="0"/>
        <v>-</v>
      </c>
      <c r="F31" s="38" t="str">
        <f t="shared" si="1"/>
        <v>-</v>
      </c>
    </row>
    <row r="32" spans="1:6" ht="33" customHeight="1" x14ac:dyDescent="0.2">
      <c r="A32" s="94" t="s">
        <v>109</v>
      </c>
      <c r="B32" s="16" t="s">
        <v>162</v>
      </c>
      <c r="C32" s="30">
        <f>IFERROR(VLOOKUP(A32,[4]Małopolski!$A$7:$D$100,4,FALSE),0)</f>
        <v>25274</v>
      </c>
      <c r="D32" s="13">
        <f t="shared" si="2"/>
        <v>25274</v>
      </c>
      <c r="E32" s="37" t="str">
        <f t="shared" si="0"/>
        <v>-</v>
      </c>
      <c r="F32" s="38">
        <f t="shared" si="1"/>
        <v>1</v>
      </c>
    </row>
    <row r="33" spans="1:6" ht="42.75" customHeight="1" x14ac:dyDescent="0.2">
      <c r="A33" s="94" t="s">
        <v>178</v>
      </c>
      <c r="B33" s="16" t="s">
        <v>179</v>
      </c>
      <c r="C33" s="30">
        <f>IFERROR(VLOOKUP(A33,[4]Małopolski!$A$7:$D$100,4,FALSE),0)</f>
        <v>0</v>
      </c>
      <c r="D33" s="13">
        <f t="shared" si="2"/>
        <v>0</v>
      </c>
      <c r="E33" s="37" t="str">
        <f>IF(C33=D33,"-",D33-C33)</f>
        <v>-</v>
      </c>
      <c r="F33" s="38" t="str">
        <f>IF(C33=0,"-",D33/C33)</f>
        <v>-</v>
      </c>
    </row>
    <row r="34" spans="1:6" ht="33" customHeight="1" x14ac:dyDescent="0.2">
      <c r="A34" s="94" t="s">
        <v>185</v>
      </c>
      <c r="B34" s="16" t="s">
        <v>186</v>
      </c>
      <c r="C34" s="30">
        <f>IFERROR(VLOOKUP(A34,[4]Małopolski!$A$7:$D$100,4,FALSE),0)</f>
        <v>700</v>
      </c>
      <c r="D34" s="13">
        <f t="shared" si="2"/>
        <v>700</v>
      </c>
      <c r="E34" s="37" t="str">
        <f>IF(C34=D34,"-",D34-C34)</f>
        <v>-</v>
      </c>
      <c r="F34" s="38">
        <f>IF(C34=0,"-",D34/C34)</f>
        <v>1</v>
      </c>
    </row>
    <row r="35" spans="1:6" ht="53.25" customHeight="1" x14ac:dyDescent="0.2">
      <c r="A35" s="94" t="s">
        <v>196</v>
      </c>
      <c r="B35" s="16" t="s">
        <v>197</v>
      </c>
      <c r="C35" s="30">
        <f>IFERROR(VLOOKUP(A35,[4]Małopolski!$A$7:$D$100,4,FALSE),0)</f>
        <v>9330</v>
      </c>
      <c r="D35" s="13">
        <f>C35</f>
        <v>9330</v>
      </c>
      <c r="E35" s="37" t="str">
        <f>IF(C35=D35,"-",D35-C35)</f>
        <v>-</v>
      </c>
      <c r="F35" s="38">
        <f>IF(C35=0,"-",D35/C35)</f>
        <v>1</v>
      </c>
    </row>
    <row r="36" spans="1:6" s="2" customFormat="1" ht="31.5" customHeight="1" x14ac:dyDescent="0.2">
      <c r="A36" s="95" t="s">
        <v>56</v>
      </c>
      <c r="B36" s="17" t="s">
        <v>57</v>
      </c>
      <c r="C36" s="31">
        <f>IFERROR(VLOOKUP(A36,[4]Małopolski!$A$7:$D$100,4,FALSE),0)</f>
        <v>306</v>
      </c>
      <c r="D36" s="36">
        <f>C36</f>
        <v>306</v>
      </c>
      <c r="E36" s="7" t="str">
        <f t="shared" si="0"/>
        <v>-</v>
      </c>
      <c r="F36" s="39">
        <f t="shared" si="1"/>
        <v>1</v>
      </c>
    </row>
    <row r="37" spans="1:6" s="2" customFormat="1" ht="31.5" customHeight="1" x14ac:dyDescent="0.2">
      <c r="A37" s="95" t="s">
        <v>55</v>
      </c>
      <c r="B37" s="17" t="s">
        <v>58</v>
      </c>
      <c r="C37" s="31">
        <f>IFERROR(VLOOKUP(A37,[4]Małopolski!$A$7:$D$100,4,FALSE),0)</f>
        <v>155790</v>
      </c>
      <c r="D37" s="36">
        <f>C37</f>
        <v>155790</v>
      </c>
      <c r="E37" s="7" t="str">
        <f t="shared" si="0"/>
        <v>-</v>
      </c>
      <c r="F37" s="39">
        <f t="shared" si="1"/>
        <v>1</v>
      </c>
    </row>
    <row r="38" spans="1:6" s="2" customFormat="1" ht="60.75" x14ac:dyDescent="0.2">
      <c r="A38" s="95" t="s">
        <v>187</v>
      </c>
      <c r="B38" s="17" t="s">
        <v>188</v>
      </c>
      <c r="C38" s="31">
        <f>IFERROR(VLOOKUP(A38,[4]Małopolski!$A$7:$D$100,4,FALSE),0)</f>
        <v>57136</v>
      </c>
      <c r="D38" s="36">
        <f>C38</f>
        <v>57136</v>
      </c>
      <c r="E38" s="7" t="str">
        <f t="shared" si="0"/>
        <v>-</v>
      </c>
      <c r="F38" s="39">
        <f t="shared" si="1"/>
        <v>1</v>
      </c>
    </row>
    <row r="39" spans="1:6" s="2" customFormat="1" ht="42.75" customHeight="1" x14ac:dyDescent="0.2">
      <c r="A39" s="95" t="s">
        <v>153</v>
      </c>
      <c r="B39" s="17" t="s">
        <v>154</v>
      </c>
      <c r="C39" s="31">
        <f>C11+C13+C24+C30</f>
        <v>1088438</v>
      </c>
      <c r="D39" s="31">
        <f>D11+D13+D24+D30</f>
        <v>1088438</v>
      </c>
      <c r="E39" s="7" t="str">
        <f t="shared" si="0"/>
        <v>-</v>
      </c>
      <c r="F39" s="39">
        <f t="shared" si="1"/>
        <v>1</v>
      </c>
    </row>
    <row r="40" spans="1:6" ht="30" customHeight="1" x14ac:dyDescent="0.2">
      <c r="A40" s="96" t="s">
        <v>130</v>
      </c>
      <c r="B40" s="84" t="s">
        <v>183</v>
      </c>
      <c r="C40" s="70">
        <f>C41+C42+C43+C51+C53+C59+C60+C58</f>
        <v>45790</v>
      </c>
      <c r="D40" s="70">
        <f>D41+D42+D43+D51+D53+D59+D60+D58</f>
        <v>45790</v>
      </c>
      <c r="E40" s="67" t="str">
        <f t="shared" si="0"/>
        <v>-</v>
      </c>
      <c r="F40" s="85">
        <f t="shared" si="1"/>
        <v>1</v>
      </c>
    </row>
    <row r="41" spans="1:6" ht="28.5" customHeight="1" x14ac:dyDescent="0.2">
      <c r="A41" s="94" t="s">
        <v>16</v>
      </c>
      <c r="B41" s="18" t="s">
        <v>17</v>
      </c>
      <c r="C41" s="30">
        <f>IFERROR(VLOOKUP(A41,[4]Małopolski!$A$7:$D$100,4,FALSE),0)</f>
        <v>1790</v>
      </c>
      <c r="D41" s="32">
        <f>C41</f>
        <v>1790</v>
      </c>
      <c r="E41" s="37" t="str">
        <f t="shared" si="0"/>
        <v>-</v>
      </c>
      <c r="F41" s="38">
        <f t="shared" si="1"/>
        <v>1</v>
      </c>
    </row>
    <row r="42" spans="1:6" ht="28.5" customHeight="1" x14ac:dyDescent="0.2">
      <c r="A42" s="94" t="s">
        <v>18</v>
      </c>
      <c r="B42" s="18" t="s">
        <v>19</v>
      </c>
      <c r="C42" s="30">
        <f>IFERROR(VLOOKUP(A42,[4]Małopolski!$A$7:$D$100,4,FALSE),0)</f>
        <v>5961</v>
      </c>
      <c r="D42" s="32">
        <f t="shared" ref="D42:D60" si="3">C42</f>
        <v>5961</v>
      </c>
      <c r="E42" s="37" t="str">
        <f t="shared" si="0"/>
        <v>-</v>
      </c>
      <c r="F42" s="38">
        <f t="shared" si="1"/>
        <v>1</v>
      </c>
    </row>
    <row r="43" spans="1:6" ht="28.5" customHeight="1" x14ac:dyDescent="0.2">
      <c r="A43" s="94" t="s">
        <v>20</v>
      </c>
      <c r="B43" s="19" t="s">
        <v>184</v>
      </c>
      <c r="C43" s="32">
        <f>C44+C46+C47+C48+C49+C50</f>
        <v>296</v>
      </c>
      <c r="D43" s="32">
        <f>D44+D46+D47+D48+D49+D50</f>
        <v>296</v>
      </c>
      <c r="E43" s="37" t="str">
        <f t="shared" si="0"/>
        <v>-</v>
      </c>
      <c r="F43" s="38">
        <f t="shared" si="1"/>
        <v>1</v>
      </c>
    </row>
    <row r="44" spans="1:6" ht="28.5" customHeight="1" x14ac:dyDescent="0.2">
      <c r="A44" s="97" t="s">
        <v>37</v>
      </c>
      <c r="B44" s="45" t="s">
        <v>30</v>
      </c>
      <c r="C44" s="30">
        <f>IFERROR(VLOOKUP(A44,[4]Małopolski!$A$7:$D$100,4,FALSE),0)</f>
        <v>25</v>
      </c>
      <c r="D44" s="32">
        <f t="shared" si="3"/>
        <v>25</v>
      </c>
      <c r="E44" s="37" t="str">
        <f t="shared" si="0"/>
        <v>-</v>
      </c>
      <c r="F44" s="38">
        <f t="shared" si="1"/>
        <v>1</v>
      </c>
    </row>
    <row r="45" spans="1:6" ht="28.5" customHeight="1" x14ac:dyDescent="0.2">
      <c r="A45" s="97" t="s">
        <v>38</v>
      </c>
      <c r="B45" s="46" t="s">
        <v>31</v>
      </c>
      <c r="C45" s="30">
        <f>IFERROR(VLOOKUP(A45,[4]Małopolski!$A$7:$D$100,4,FALSE),0)</f>
        <v>25</v>
      </c>
      <c r="D45" s="32">
        <f t="shared" si="3"/>
        <v>25</v>
      </c>
      <c r="E45" s="37" t="str">
        <f t="shared" si="0"/>
        <v>-</v>
      </c>
      <c r="F45" s="38">
        <f t="shared" si="1"/>
        <v>1</v>
      </c>
    </row>
    <row r="46" spans="1:6" ht="28.5" customHeight="1" x14ac:dyDescent="0.2">
      <c r="A46" s="97" t="s">
        <v>39</v>
      </c>
      <c r="B46" s="45" t="s">
        <v>32</v>
      </c>
      <c r="C46" s="30">
        <f>IFERROR(VLOOKUP(A46,[4]Małopolski!$A$7:$D$100,4,FALSE),0)</f>
        <v>55</v>
      </c>
      <c r="D46" s="32">
        <f t="shared" si="3"/>
        <v>55</v>
      </c>
      <c r="E46" s="37" t="str">
        <f t="shared" si="0"/>
        <v>-</v>
      </c>
      <c r="F46" s="38">
        <f t="shared" si="1"/>
        <v>1</v>
      </c>
    </row>
    <row r="47" spans="1:6" ht="28.5" customHeight="1" x14ac:dyDescent="0.2">
      <c r="A47" s="97" t="s">
        <v>40</v>
      </c>
      <c r="B47" s="45" t="s">
        <v>33</v>
      </c>
      <c r="C47" s="30">
        <f>IFERROR(VLOOKUP(A47,[4]Małopolski!$A$7:$D$100,4,FALSE),0)</f>
        <v>0</v>
      </c>
      <c r="D47" s="32">
        <f t="shared" si="3"/>
        <v>0</v>
      </c>
      <c r="E47" s="37" t="str">
        <f t="shared" si="0"/>
        <v>-</v>
      </c>
      <c r="F47" s="38" t="str">
        <f t="shared" si="1"/>
        <v>-</v>
      </c>
    </row>
    <row r="48" spans="1:6" ht="28.5" customHeight="1" x14ac:dyDescent="0.2">
      <c r="A48" s="97" t="s">
        <v>41</v>
      </c>
      <c r="B48" s="45" t="s">
        <v>34</v>
      </c>
      <c r="C48" s="30">
        <f>IFERROR(VLOOKUP(A48,[4]Małopolski!$A$7:$D$100,4,FALSE),0)</f>
        <v>0</v>
      </c>
      <c r="D48" s="32">
        <f t="shared" si="3"/>
        <v>0</v>
      </c>
      <c r="E48" s="37" t="str">
        <f t="shared" si="0"/>
        <v>-</v>
      </c>
      <c r="F48" s="38" t="str">
        <f t="shared" si="1"/>
        <v>-</v>
      </c>
    </row>
    <row r="49" spans="1:6" ht="28.5" customHeight="1" x14ac:dyDescent="0.2">
      <c r="A49" s="97" t="s">
        <v>42</v>
      </c>
      <c r="B49" s="45" t="s">
        <v>35</v>
      </c>
      <c r="C49" s="30">
        <f>IFERROR(VLOOKUP(A49,[4]Małopolski!$A$7:$D$100,4,FALSE),0)</f>
        <v>155</v>
      </c>
      <c r="D49" s="32">
        <f t="shared" si="3"/>
        <v>155</v>
      </c>
      <c r="E49" s="37" t="str">
        <f t="shared" si="0"/>
        <v>-</v>
      </c>
      <c r="F49" s="38">
        <f t="shared" si="1"/>
        <v>1</v>
      </c>
    </row>
    <row r="50" spans="1:6" ht="28.5" customHeight="1" x14ac:dyDescent="0.2">
      <c r="A50" s="97" t="s">
        <v>43</v>
      </c>
      <c r="B50" s="45" t="s">
        <v>36</v>
      </c>
      <c r="C50" s="30">
        <f>IFERROR(VLOOKUP(A50,[4]Małopolski!$A$7:$D$100,4,FALSE),0)</f>
        <v>61</v>
      </c>
      <c r="D50" s="32">
        <f t="shared" si="3"/>
        <v>61</v>
      </c>
      <c r="E50" s="37" t="str">
        <f t="shared" si="0"/>
        <v>-</v>
      </c>
      <c r="F50" s="38">
        <f t="shared" si="1"/>
        <v>1</v>
      </c>
    </row>
    <row r="51" spans="1:6" ht="28.5" customHeight="1" x14ac:dyDescent="0.2">
      <c r="A51" s="94" t="s">
        <v>21</v>
      </c>
      <c r="B51" s="18" t="s">
        <v>155</v>
      </c>
      <c r="C51" s="30">
        <f>IFERROR(VLOOKUP(A51,[4]Małopolski!$A$7:$D$100,4,FALSE),0)</f>
        <v>24234</v>
      </c>
      <c r="D51" s="32">
        <f t="shared" si="3"/>
        <v>24234</v>
      </c>
      <c r="E51" s="37" t="str">
        <f t="shared" si="0"/>
        <v>-</v>
      </c>
      <c r="F51" s="38">
        <f t="shared" si="1"/>
        <v>1</v>
      </c>
    </row>
    <row r="52" spans="1:6" ht="28.5" customHeight="1" x14ac:dyDescent="0.2">
      <c r="A52" s="97" t="s">
        <v>156</v>
      </c>
      <c r="B52" s="45" t="s">
        <v>157</v>
      </c>
      <c r="C52" s="30">
        <f>IFERROR(VLOOKUP(A52,[4]Małopolski!$A$7:$D$100,4,FALSE),0)</f>
        <v>24</v>
      </c>
      <c r="D52" s="32">
        <f t="shared" si="3"/>
        <v>24</v>
      </c>
      <c r="E52" s="37" t="str">
        <f t="shared" si="0"/>
        <v>-</v>
      </c>
      <c r="F52" s="38">
        <f t="shared" si="1"/>
        <v>1</v>
      </c>
    </row>
    <row r="53" spans="1:6" ht="28.5" customHeight="1" x14ac:dyDescent="0.2">
      <c r="A53" s="94" t="s">
        <v>22</v>
      </c>
      <c r="B53" s="19" t="s">
        <v>182</v>
      </c>
      <c r="C53" s="28">
        <f>C54+C55+C56+C57</f>
        <v>5443</v>
      </c>
      <c r="D53" s="28">
        <f>D54+D55+D56+D57</f>
        <v>5443</v>
      </c>
      <c r="E53" s="37" t="str">
        <f t="shared" si="0"/>
        <v>-</v>
      </c>
      <c r="F53" s="38">
        <f t="shared" si="1"/>
        <v>1</v>
      </c>
    </row>
    <row r="54" spans="1:6" ht="28.5" customHeight="1" x14ac:dyDescent="0.2">
      <c r="A54" s="97" t="s">
        <v>48</v>
      </c>
      <c r="B54" s="45" t="s">
        <v>44</v>
      </c>
      <c r="C54" s="30">
        <f>IFERROR(VLOOKUP(A54,[4]Małopolski!$A$7:$D$100,4,FALSE),0)</f>
        <v>4160</v>
      </c>
      <c r="D54" s="32">
        <f t="shared" si="3"/>
        <v>4160</v>
      </c>
      <c r="E54" s="37" t="str">
        <f t="shared" si="0"/>
        <v>-</v>
      </c>
      <c r="F54" s="38">
        <f t="shared" si="1"/>
        <v>1</v>
      </c>
    </row>
    <row r="55" spans="1:6" ht="28.5" customHeight="1" x14ac:dyDescent="0.2">
      <c r="A55" s="97" t="s">
        <v>49</v>
      </c>
      <c r="B55" s="45" t="s">
        <v>45</v>
      </c>
      <c r="C55" s="30">
        <f>IFERROR(VLOOKUP(A55,[4]Małopolski!$A$7:$D$100,4,FALSE),0)</f>
        <v>594</v>
      </c>
      <c r="D55" s="32">
        <f t="shared" si="3"/>
        <v>594</v>
      </c>
      <c r="E55" s="37" t="str">
        <f t="shared" si="0"/>
        <v>-</v>
      </c>
      <c r="F55" s="38">
        <f t="shared" si="1"/>
        <v>1</v>
      </c>
    </row>
    <row r="56" spans="1:6" ht="28.5" customHeight="1" x14ac:dyDescent="0.2">
      <c r="A56" s="97" t="s">
        <v>50</v>
      </c>
      <c r="B56" s="45" t="s">
        <v>46</v>
      </c>
      <c r="C56" s="30">
        <f>IFERROR(VLOOKUP(A56,[4]Małopolski!$A$7:$D$100,4,FALSE),0)</f>
        <v>0</v>
      </c>
      <c r="D56" s="32">
        <f t="shared" si="3"/>
        <v>0</v>
      </c>
      <c r="E56" s="37" t="str">
        <f t="shared" si="0"/>
        <v>-</v>
      </c>
      <c r="F56" s="38" t="str">
        <f t="shared" si="1"/>
        <v>-</v>
      </c>
    </row>
    <row r="57" spans="1:6" ht="28.5" customHeight="1" x14ac:dyDescent="0.2">
      <c r="A57" s="97" t="s">
        <v>51</v>
      </c>
      <c r="B57" s="45" t="s">
        <v>47</v>
      </c>
      <c r="C57" s="30">
        <f>IFERROR(VLOOKUP(A57,[4]Małopolski!$A$7:$D$100,4,FALSE),0)</f>
        <v>689</v>
      </c>
      <c r="D57" s="32">
        <f t="shared" si="3"/>
        <v>689</v>
      </c>
      <c r="E57" s="37" t="str">
        <f t="shared" si="0"/>
        <v>-</v>
      </c>
      <c r="F57" s="38">
        <f t="shared" si="1"/>
        <v>1</v>
      </c>
    </row>
    <row r="58" spans="1:6" ht="28.5" customHeight="1" x14ac:dyDescent="0.2">
      <c r="A58" s="94" t="s">
        <v>23</v>
      </c>
      <c r="B58" s="18" t="s">
        <v>24</v>
      </c>
      <c r="C58" s="30">
        <f>IFERROR(VLOOKUP(A58,[4]Małopolski!$A$7:$D$100,4,FALSE),0)</f>
        <v>0</v>
      </c>
      <c r="D58" s="32">
        <f t="shared" si="3"/>
        <v>0</v>
      </c>
      <c r="E58" s="37" t="str">
        <f t="shared" si="0"/>
        <v>-</v>
      </c>
      <c r="F58" s="38" t="str">
        <f t="shared" si="1"/>
        <v>-</v>
      </c>
    </row>
    <row r="59" spans="1:6" ht="28.5" customHeight="1" x14ac:dyDescent="0.2">
      <c r="A59" s="94" t="s">
        <v>25</v>
      </c>
      <c r="B59" s="18" t="s">
        <v>158</v>
      </c>
      <c r="C59" s="30">
        <f>IFERROR(VLOOKUP(A59,[4]Małopolski!$A$7:$D$100,4,FALSE),0)</f>
        <v>7750</v>
      </c>
      <c r="D59" s="32">
        <f t="shared" si="3"/>
        <v>7750</v>
      </c>
      <c r="E59" s="37" t="str">
        <f t="shared" si="0"/>
        <v>-</v>
      </c>
      <c r="F59" s="40">
        <f t="shared" si="1"/>
        <v>1</v>
      </c>
    </row>
    <row r="60" spans="1:6" ht="28.5" customHeight="1" x14ac:dyDescent="0.2">
      <c r="A60" s="94" t="s">
        <v>26</v>
      </c>
      <c r="B60" s="18" t="s">
        <v>27</v>
      </c>
      <c r="C60" s="30">
        <f>IFERROR(VLOOKUP(A60,[4]Małopolski!$A$7:$D$100,4,FALSE),0)</f>
        <v>316</v>
      </c>
      <c r="D60" s="32">
        <f t="shared" si="3"/>
        <v>316</v>
      </c>
      <c r="E60" s="37" t="str">
        <f t="shared" si="0"/>
        <v>-</v>
      </c>
      <c r="F60" s="38">
        <f t="shared" si="1"/>
        <v>1</v>
      </c>
    </row>
    <row r="61" spans="1:6" ht="30" customHeight="1" x14ac:dyDescent="0.2">
      <c r="A61" s="98" t="s">
        <v>132</v>
      </c>
      <c r="B61" s="76" t="s">
        <v>159</v>
      </c>
      <c r="C61" s="86">
        <f>C62+C63+C64+C65</f>
        <v>19360</v>
      </c>
      <c r="D61" s="86">
        <f>D62+D63+D64+D65</f>
        <v>14415</v>
      </c>
      <c r="E61" s="67">
        <f t="shared" si="0"/>
        <v>-4945</v>
      </c>
      <c r="F61" s="87">
        <f t="shared" si="1"/>
        <v>0.74460000000000004</v>
      </c>
    </row>
    <row r="62" spans="1:6" ht="42" customHeight="1" x14ac:dyDescent="0.2">
      <c r="A62" s="94" t="s">
        <v>99</v>
      </c>
      <c r="B62" s="18" t="s">
        <v>112</v>
      </c>
      <c r="C62" s="30">
        <f>IFERROR(VLOOKUP(A62,[4]Małopolski!$A$7:$D$100,4,FALSE),0)</f>
        <v>0</v>
      </c>
      <c r="D62" s="32">
        <f>C62</f>
        <v>0</v>
      </c>
      <c r="E62" s="28" t="str">
        <f t="shared" si="0"/>
        <v>-</v>
      </c>
      <c r="F62" s="38" t="str">
        <f t="shared" si="1"/>
        <v>-</v>
      </c>
    </row>
    <row r="63" spans="1:6" ht="31.5" customHeight="1" x14ac:dyDescent="0.2">
      <c r="A63" s="94" t="s">
        <v>28</v>
      </c>
      <c r="B63" s="18" t="s">
        <v>53</v>
      </c>
      <c r="C63" s="30">
        <f>IFERROR(VLOOKUP(A63,[4]Małopolski!$A$7:$D$100,4,FALSE),0)</f>
        <v>16095</v>
      </c>
      <c r="D63" s="32">
        <f>C63-4945</f>
        <v>11150</v>
      </c>
      <c r="E63" s="28">
        <f t="shared" si="0"/>
        <v>-4945</v>
      </c>
      <c r="F63" s="38">
        <f t="shared" si="1"/>
        <v>0.69279999999999997</v>
      </c>
    </row>
    <row r="64" spans="1:6" ht="31.5" customHeight="1" x14ac:dyDescent="0.2">
      <c r="A64" s="94" t="s">
        <v>29</v>
      </c>
      <c r="B64" s="18" t="s">
        <v>101</v>
      </c>
      <c r="C64" s="30">
        <f>IFERROR(VLOOKUP(A64,[4]Małopolski!$A$7:$D$100,4,FALSE),0)</f>
        <v>0</v>
      </c>
      <c r="D64" s="32">
        <f>C64</f>
        <v>0</v>
      </c>
      <c r="E64" s="28" t="str">
        <f t="shared" si="0"/>
        <v>-</v>
      </c>
      <c r="F64" s="38" t="str">
        <f t="shared" si="1"/>
        <v>-</v>
      </c>
    </row>
    <row r="65" spans="1:6" ht="31.5" customHeight="1" x14ac:dyDescent="0.2">
      <c r="A65" s="94" t="s">
        <v>100</v>
      </c>
      <c r="B65" s="18" t="s">
        <v>102</v>
      </c>
      <c r="C65" s="30">
        <f>IFERROR(VLOOKUP(A65,[4]Małopolski!$A$7:$D$100,4,FALSE),0)</f>
        <v>3265</v>
      </c>
      <c r="D65" s="32">
        <f>C65</f>
        <v>3265</v>
      </c>
      <c r="E65" s="28" t="str">
        <f t="shared" si="0"/>
        <v>-</v>
      </c>
      <c r="F65" s="38">
        <f t="shared" si="1"/>
        <v>1</v>
      </c>
    </row>
    <row r="66" spans="1:6" ht="32.25" customHeight="1" x14ac:dyDescent="0.2">
      <c r="A66" s="98" t="s">
        <v>134</v>
      </c>
      <c r="B66" s="76" t="s">
        <v>113</v>
      </c>
      <c r="C66" s="86">
        <f>IFERROR(VLOOKUP(A66,[4]Małopolski!$A$7:$D$100,4,FALSE),0)</f>
        <v>300</v>
      </c>
      <c r="D66" s="86">
        <f>C66+4945</f>
        <v>5245</v>
      </c>
      <c r="E66" s="67">
        <f t="shared" si="0"/>
        <v>4945</v>
      </c>
      <c r="F66" s="87">
        <f t="shared" si="1"/>
        <v>17.4833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Rosińska</dc:creator>
  <cp:lastModifiedBy>Łuszczyńska Kinga</cp:lastModifiedBy>
  <cp:lastPrinted>2018-06-01T06:05:39Z</cp:lastPrinted>
  <dcterms:created xsi:type="dcterms:W3CDTF">2005-07-21T09:51:05Z</dcterms:created>
  <dcterms:modified xsi:type="dcterms:W3CDTF">2018-07-30T06:57:07Z</dcterms:modified>
</cp:coreProperties>
</file>