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3\I kwartał\Dane ostateczne 2023.05.26\Zbiorówki_2023_k1_20230526\"/>
    </mc:Choice>
  </mc:AlternateContent>
  <bookViews>
    <workbookView xWindow="240" yWindow="120" windowWidth="14220" windowHeight="8835"/>
  </bookViews>
  <sheets>
    <sheet name="doch_wyd" sheetId="4" r:id="rId1"/>
  </sheets>
  <definedNames>
    <definedName name="_xlnm.Print_Area" localSheetId="0">doch_wyd!$A$1:$M$119</definedName>
  </definedNames>
  <calcPr calcId="152511"/>
</workbook>
</file>

<file path=xl/calcChain.xml><?xml version="1.0" encoding="utf-8"?>
<calcChain xmlns="http://schemas.openxmlformats.org/spreadsheetml/2006/main">
  <c r="C119" i="4" l="1"/>
  <c r="C118" i="4"/>
  <c r="C117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I80" i="4"/>
  <c r="H80" i="4"/>
  <c r="G80" i="4"/>
  <c r="F80" i="4"/>
  <c r="E80" i="4"/>
  <c r="D80" i="4"/>
  <c r="C80" i="4"/>
  <c r="I79" i="4"/>
  <c r="H79" i="4"/>
  <c r="G79" i="4"/>
  <c r="F79" i="4"/>
  <c r="E79" i="4"/>
  <c r="D79" i="4"/>
  <c r="C79" i="4"/>
  <c r="I73" i="4"/>
  <c r="H73" i="4"/>
  <c r="G73" i="4"/>
  <c r="F73" i="4"/>
  <c r="E73" i="4"/>
  <c r="D73" i="4"/>
  <c r="C73" i="4"/>
  <c r="I72" i="4"/>
  <c r="H72" i="4"/>
  <c r="G72" i="4"/>
  <c r="F72" i="4"/>
  <c r="E72" i="4"/>
  <c r="D72" i="4"/>
  <c r="C72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7" i="4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5" i="4"/>
  <c r="H55" i="4"/>
  <c r="G55" i="4"/>
  <c r="F55" i="4"/>
  <c r="E55" i="4"/>
  <c r="D55" i="4"/>
  <c r="C55" i="4"/>
  <c r="D52" i="4"/>
  <c r="C52" i="4"/>
  <c r="D51" i="4"/>
  <c r="C51" i="4"/>
  <c r="D50" i="4"/>
  <c r="C50" i="4"/>
  <c r="D49" i="4"/>
  <c r="C49" i="4"/>
  <c r="D48" i="4"/>
  <c r="C48" i="4"/>
  <c r="D47" i="4"/>
  <c r="C47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K94" i="4"/>
  <c r="J94" i="4"/>
  <c r="J96" i="4"/>
  <c r="J95" i="4"/>
  <c r="K95" i="4"/>
  <c r="K96" i="4"/>
  <c r="J50" i="4"/>
  <c r="J17" i="4"/>
  <c r="J6" i="4"/>
  <c r="J42" i="4"/>
  <c r="J26" i="4"/>
  <c r="J29" i="4"/>
  <c r="J11" i="4"/>
  <c r="J38" i="4"/>
  <c r="J27" i="4"/>
  <c r="D75" i="4"/>
  <c r="J18" i="4"/>
  <c r="J45" i="4"/>
  <c r="J33" i="4"/>
  <c r="J40" i="4"/>
  <c r="J16" i="4"/>
  <c r="J37" i="4"/>
  <c r="J25" i="4"/>
  <c r="J20" i="4"/>
  <c r="J13" i="4"/>
  <c r="J9" i="4"/>
  <c r="J30" i="4"/>
  <c r="J28" i="4"/>
  <c r="J44" i="4"/>
  <c r="J19" i="4"/>
  <c r="J32" i="4"/>
  <c r="J41" i="4"/>
  <c r="J14" i="4"/>
  <c r="J36" i="4"/>
  <c r="J39" i="4"/>
  <c r="J8" i="4"/>
  <c r="J24" i="4"/>
  <c r="J31" i="4"/>
  <c r="J35" i="4"/>
  <c r="J43" i="4"/>
  <c r="J12" i="4"/>
  <c r="J47" i="4"/>
  <c r="J52" i="4"/>
  <c r="J51" i="4"/>
  <c r="J15" i="4"/>
  <c r="J10" i="4"/>
  <c r="D54" i="4"/>
  <c r="D56" i="4" s="1"/>
  <c r="J48" i="4"/>
  <c r="J34" i="4"/>
  <c r="J49" i="4"/>
  <c r="K14" i="4"/>
  <c r="H7" i="4"/>
  <c r="H21" i="4" s="1"/>
  <c r="H54" i="4"/>
  <c r="H56" i="4"/>
  <c r="K10" i="4"/>
  <c r="D117" i="4"/>
  <c r="F54" i="4"/>
  <c r="F56" i="4"/>
  <c r="F7" i="4"/>
  <c r="F21" i="4" s="1"/>
  <c r="K8" i="4"/>
  <c r="K12" i="4"/>
  <c r="K16" i="4"/>
  <c r="K20" i="4"/>
  <c r="D23" i="4"/>
  <c r="D22" i="4" s="1"/>
  <c r="D46" i="4"/>
  <c r="J46" i="4" s="1"/>
  <c r="E68" i="4"/>
  <c r="E74" i="4" s="1"/>
  <c r="I68" i="4"/>
  <c r="I74" i="4"/>
  <c r="K67" i="4"/>
  <c r="K72" i="4"/>
  <c r="E81" i="4"/>
  <c r="I81" i="4"/>
  <c r="K86" i="4"/>
  <c r="K88" i="4"/>
  <c r="K90" i="4"/>
  <c r="K92" i="4"/>
  <c r="K98" i="4"/>
  <c r="K100" i="4"/>
  <c r="K102" i="4"/>
  <c r="K6" i="4"/>
  <c r="C75" i="4"/>
  <c r="C54" i="4"/>
  <c r="G54" i="4"/>
  <c r="G56" i="4" s="1"/>
  <c r="G7" i="4"/>
  <c r="G21" i="4" s="1"/>
  <c r="K11" i="4"/>
  <c r="K15" i="4"/>
  <c r="K19" i="4"/>
  <c r="K25" i="4"/>
  <c r="K27" i="4"/>
  <c r="K29" i="4"/>
  <c r="K31" i="4"/>
  <c r="K33" i="4"/>
  <c r="K35" i="4"/>
  <c r="K37" i="4"/>
  <c r="K39" i="4"/>
  <c r="K41" i="4"/>
  <c r="K43" i="4"/>
  <c r="K45" i="4"/>
  <c r="K48" i="4"/>
  <c r="K50" i="4"/>
  <c r="K52" i="4"/>
  <c r="F68" i="4"/>
  <c r="F74" i="4" s="1"/>
  <c r="K66" i="4"/>
  <c r="K71" i="4"/>
  <c r="F81" i="4"/>
  <c r="K80" i="4"/>
  <c r="J86" i="4"/>
  <c r="J90" i="4"/>
  <c r="J87" i="4"/>
  <c r="J91" i="4"/>
  <c r="J92" i="4"/>
  <c r="J88" i="4"/>
  <c r="J89" i="4"/>
  <c r="J93" i="4"/>
  <c r="K18" i="4"/>
  <c r="C68" i="4"/>
  <c r="C74" i="4" s="1"/>
  <c r="K65" i="4"/>
  <c r="G68" i="4"/>
  <c r="G74" i="4" s="1"/>
  <c r="K70" i="4"/>
  <c r="K79" i="4"/>
  <c r="C81" i="4"/>
  <c r="K81" i="4"/>
  <c r="G81" i="4"/>
  <c r="K87" i="4"/>
  <c r="K89" i="4"/>
  <c r="K91" i="4"/>
  <c r="K93" i="4"/>
  <c r="K97" i="4"/>
  <c r="K99" i="4"/>
  <c r="K101" i="4"/>
  <c r="E54" i="4"/>
  <c r="E56" i="4" s="1"/>
  <c r="E7" i="4"/>
  <c r="E21" i="4" s="1"/>
  <c r="I7" i="4"/>
  <c r="I21" i="4" s="1"/>
  <c r="I54" i="4"/>
  <c r="I56" i="4" s="1"/>
  <c r="K9" i="4"/>
  <c r="K13" i="4"/>
  <c r="K17" i="4"/>
  <c r="C23" i="4"/>
  <c r="C22" i="4" s="1"/>
  <c r="K24" i="4"/>
  <c r="K26" i="4"/>
  <c r="K28" i="4"/>
  <c r="K30" i="4"/>
  <c r="K32" i="4"/>
  <c r="K34" i="4"/>
  <c r="K36" i="4"/>
  <c r="K38" i="4"/>
  <c r="K40" i="4"/>
  <c r="K42" i="4"/>
  <c r="K44" i="4"/>
  <c r="K47" i="4"/>
  <c r="C46" i="4"/>
  <c r="K46" i="4" s="1"/>
  <c r="K49" i="4"/>
  <c r="K51" i="4"/>
  <c r="K55" i="4"/>
  <c r="J66" i="4"/>
  <c r="J70" i="4"/>
  <c r="J69" i="4"/>
  <c r="J73" i="4"/>
  <c r="J67" i="4"/>
  <c r="D68" i="4"/>
  <c r="D74" i="4" s="1"/>
  <c r="J74" i="4" s="1"/>
  <c r="J71" i="4"/>
  <c r="J65" i="4"/>
  <c r="J72" i="4"/>
  <c r="H68" i="4"/>
  <c r="H74" i="4" s="1"/>
  <c r="K69" i="4"/>
  <c r="K73" i="4"/>
  <c r="J80" i="4"/>
  <c r="J79" i="4"/>
  <c r="D81" i="4"/>
  <c r="J81" i="4"/>
  <c r="H81" i="4"/>
  <c r="J100" i="4"/>
  <c r="J97" i="4"/>
  <c r="J99" i="4"/>
  <c r="J102" i="4"/>
  <c r="J101" i="4"/>
  <c r="J98" i="4"/>
  <c r="K54" i="4"/>
  <c r="C56" i="4"/>
  <c r="B1" i="4"/>
  <c r="B58" i="4"/>
  <c r="B82" i="4"/>
  <c r="J54" i="4"/>
  <c r="J68" i="4" l="1"/>
  <c r="C76" i="4"/>
  <c r="K68" i="4"/>
  <c r="K74" i="4"/>
  <c r="J22" i="4"/>
  <c r="D7" i="4"/>
  <c r="L17" i="4" s="1"/>
  <c r="J23" i="4"/>
  <c r="K23" i="4"/>
  <c r="C7" i="4"/>
  <c r="C21" i="4" s="1"/>
  <c r="K22" i="4"/>
  <c r="K56" i="4"/>
  <c r="D76" i="4"/>
  <c r="J56" i="4"/>
  <c r="L16" i="4"/>
  <c r="J55" i="4"/>
  <c r="L19" i="4" l="1"/>
  <c r="L8" i="4"/>
  <c r="D21" i="4"/>
  <c r="J21" i="4" s="1"/>
  <c r="L10" i="4"/>
  <c r="J7" i="4"/>
  <c r="L20" i="4"/>
  <c r="L13" i="4"/>
  <c r="L14" i="4"/>
  <c r="K7" i="4"/>
  <c r="L9" i="4"/>
  <c r="L18" i="4"/>
  <c r="L7" i="4"/>
  <c r="L12" i="4"/>
  <c r="L15" i="4"/>
  <c r="L11" i="4"/>
  <c r="L21" i="4"/>
  <c r="K21" i="4"/>
</calcChain>
</file>

<file path=xl/sharedStrings.xml><?xml version="1.0" encoding="utf-8"?>
<sst xmlns="http://schemas.openxmlformats.org/spreadsheetml/2006/main" count="365" uniqueCount="115">
  <si>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</si>
  <si>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</si>
  <si>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</si>
  <si>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</si>
  <si>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</si>
  <si>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</si>
  <si>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</si>
  <si>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</si>
  <si>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</si>
  <si>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</si>
  <si>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</si>
  <si>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</si>
  <si>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</si>
  <si>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</si>
  <si>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</si>
  <si>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</si>
  <si>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</si>
  <si>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</si>
  <si>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</si>
  <si>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</si>
  <si>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</si>
  <si>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</si>
  <si>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</si>
  <si>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</si>
  <si>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</si>
  <si>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</si>
  <si>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</si>
  <si>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</si>
  <si>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</si>
  <si>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</si>
  <si>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</si>
  <si>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</si>
  <si>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</si>
  <si>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</si>
  <si>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</si>
  <si>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</si>
  <si>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</si>
  <si>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</si>
  <si>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</si>
  <si>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</si>
  <si>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</si>
  <si>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</si>
  <si>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</si>
  <si>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</si>
  <si>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</si>
  <si>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</si>
  <si>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</si>
  <si>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</si>
  <si>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</si>
  <si>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</si>
  <si>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</si>
  <si>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</si>
  <si>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</si>
  <si>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</si>
  <si>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</si>
  <si>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</si>
  <si>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</si>
  <si>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</si>
  <si>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</si>
  <si>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</si>
  <si>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</si>
  <si>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</si>
  <si>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</si>
  <si>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</si>
  <si>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</si>
  <si>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</si>
  <si>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</si>
  <si>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</si>
  <si>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</si>
  <si>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</si>
  <si>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</si>
  <si>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r>
      <t xml:space="preserve">Dotacje </t>
    </r>
    <r>
      <rPr>
        <b/>
        <sz val="10"/>
        <color indexed="8"/>
        <rFont val="Arial"/>
        <charset val="238"/>
      </rPr>
      <t>§§ 200 i 620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</si>
  <si>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620</t>
    </r>
  </si>
  <si>
    <t>WYDATKI OGÓŁEM UE
z tego: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</si>
  <si>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</si>
  <si>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</si>
  <si>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</si>
  <si>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</si>
  <si>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</si>
  <si>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</si>
  <si>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</si>
  <si>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</si>
  <si>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</si>
  <si>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</si>
  <si>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Dotacje </t>
    </r>
    <r>
      <rPr>
        <b/>
        <sz val="10"/>
        <color indexed="8"/>
        <rFont val="Arial"/>
        <charset val="238"/>
      </rPr>
      <t>§§ 205 i 625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</si>
  <si>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625</t>
    </r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</si>
  <si>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</si>
  <si>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ze sprzedaży papierów wartościowych</t>
  </si>
  <si>
    <t>spłata  udzielonych pożyczek</t>
  </si>
  <si>
    <t>prywatyzacja majątku JST</t>
  </si>
  <si>
    <t>wolne środki , o których mowa w art. 217 ust.2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</si>
  <si>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</si>
  <si>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</si>
  <si>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(m.in.. z Rządowego Funduszu Inwestycji Lokalnych)</t>
  </si>
  <si>
    <t>w tym: inwestycyjne</t>
  </si>
  <si>
    <t>spłaty udzielonych pożyczek w latach ubiegłych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</si>
  <si>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</si>
  <si>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</si>
  <si>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</si>
  <si>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</si>
  <si>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</si>
  <si>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</si>
  <si>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</si>
  <si>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Dotacje ogółem 
z tego:</t>
  </si>
  <si>
    <t>Dochody bieżące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</si>
  <si>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</si>
  <si>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</si>
  <si>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</si>
  <si>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kredyty, pożyczki, emisja papierów wartościowych 
w tym:</t>
  </si>
  <si>
    <t>stan niespłaconych na koniec okresu sprawozdawczego zobowiązań przeznaczonych na cel, o którym mowa w art. 89 ust. 1 pkt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</si>
  <si>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</si>
  <si>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</si>
  <si>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</si>
  <si>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</si>
  <si>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>FINANSOWANIE DEFICYTU (E1+E2+E3+E4+E5+E6+E7+E8) 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</si>
</sst>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indexed="8"/>
      <name val="Arial"/>
      <charset val="238"/>
    </font>
    <font>
      <sz val="8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1" applyNumberFormat="0" applyAlignment="0" applyProtection="0"/>
    <xf numFmtId="0" fontId="27" fillId="0" borderId="7" applyNumberFormat="0" applyFill="0" applyAlignment="0" applyProtection="0"/>
    <xf numFmtId="0" fontId="28" fillId="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</xf>
    <xf numFmtId="0" fontId="34" fillId="0" borderId="0"/>
    <xf numFmtId="0" fontId="1" fillId="4" borderId="8" applyNumberFormat="0" applyFont="0" applyAlignment="0" applyProtection="0"/>
    <xf numFmtId="0" fontId="15" fillId="4" borderId="8" applyNumberFormat="0" applyFont="0" applyAlignment="0" applyProtection="0"/>
    <xf numFmtId="0" fontId="29" fillId="16" borderId="3" applyNumberFormat="0" applyAlignment="0" applyProtection="0"/>
    <xf numFmtId="0" fontId="1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/>
    </xf>
    <xf numFmtId="4" fontId="11" fillId="2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0" fontId="6" fillId="0" borderId="10" xfId="0" applyFont="1" applyFill="1" applyBorder="1" applyAlignment="1">
      <alignment horizontal="left" vertical="center" wrapText="1" indent="1"/>
    </xf>
    <xf numFmtId="0" fontId="2" fillId="0" borderId="10" xfId="0" applyFont="1" applyBorder="1"/>
    <xf numFmtId="164" fontId="13" fillId="20" borderId="10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right" vertical="center"/>
    </xf>
    <xf numFmtId="164" fontId="11" fillId="20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left" vertical="center" wrapText="1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4" fontId="11" fillId="20" borderId="10" xfId="29" applyNumberFormat="1" applyFont="1" applyFill="1" applyBorder="1" applyAlignment="1">
      <alignment horizontal="right" vertical="center"/>
    </xf>
    <xf numFmtId="4" fontId="11" fillId="20" borderId="13" xfId="0" applyNumberFormat="1" applyFont="1" applyFill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4" fontId="6" fillId="20" borderId="13" xfId="0" applyNumberFormat="1" applyFont="1" applyFill="1" applyBorder="1" applyAlignment="1">
      <alignment horizontal="right" vertical="center"/>
    </xf>
    <xf numFmtId="4" fontId="6" fillId="22" borderId="13" xfId="0" applyNumberFormat="1" applyFont="1" applyFill="1" applyBorder="1" applyAlignment="1">
      <alignment horizontal="right" vertical="center"/>
    </xf>
    <xf numFmtId="0" fontId="35" fillId="23" borderId="10" xfId="41" applyFont="1" applyFill="1" applyBorder="1" applyAlignment="1">
      <alignment horizontal="left" vertical="center" wrapText="1"/>
    </xf>
    <xf numFmtId="164" fontId="11" fillId="22" borderId="10" xfId="29" applyNumberFormat="1" applyFont="1" applyFill="1" applyBorder="1" applyAlignment="1">
      <alignment horizontal="right" vertical="center"/>
    </xf>
    <xf numFmtId="164" fontId="11" fillId="22" borderId="10" xfId="0" applyNumberFormat="1" applyFont="1" applyFill="1" applyBorder="1" applyAlignment="1">
      <alignment horizontal="right" vertical="center"/>
    </xf>
    <xf numFmtId="164" fontId="11" fillId="23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center" vertical="center" wrapText="1"/>
    </xf>
    <xf numFmtId="4" fontId="11" fillId="20" borderId="10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7" fillId="23" borderId="10" xfId="0" applyFont="1" applyFill="1" applyBorder="1" applyAlignment="1">
      <alignment horizontal="left" vertical="center" wrapText="1"/>
    </xf>
    <xf numFmtId="4" fontId="13" fillId="23" borderId="10" xfId="0" applyNumberFormat="1" applyFont="1" applyFill="1" applyBorder="1" applyAlignment="1">
      <alignment horizontal="right" vertical="center"/>
    </xf>
    <xf numFmtId="164" fontId="13" fillId="23" borderId="10" xfId="0" applyNumberFormat="1" applyFont="1" applyFill="1" applyBorder="1" applyAlignment="1">
      <alignment horizontal="right" vertical="center"/>
    </xf>
    <xf numFmtId="4" fontId="4" fillId="23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10" fillId="23" borderId="10" xfId="0" applyFont="1" applyFill="1" applyBorder="1" applyAlignment="1">
      <alignment horizontal="left" vertical="center" wrapText="1"/>
    </xf>
    <xf numFmtId="4" fontId="11" fillId="23" borderId="10" xfId="0" applyNumberFormat="1" applyFont="1" applyFill="1" applyBorder="1" applyAlignment="1">
      <alignment horizontal="right" vertical="center"/>
    </xf>
    <xf numFmtId="164" fontId="6" fillId="23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164" fontId="11" fillId="0" borderId="10" xfId="0" applyNumberFormat="1" applyFont="1" applyFill="1" applyBorder="1" applyAlignment="1">
      <alignment horizontal="right" vertical="center"/>
    </xf>
    <xf numFmtId="4" fontId="6" fillId="0" borderId="13" xfId="0" applyNumberFormat="1" applyFont="1" applyFill="1" applyBorder="1" applyAlignment="1">
      <alignment horizontal="right" vertical="center"/>
    </xf>
    <xf numFmtId="164" fontId="11" fillId="0" borderId="10" xfId="29" applyNumberFormat="1" applyFont="1" applyFill="1" applyBorder="1" applyAlignment="1">
      <alignment horizontal="right" vertical="center"/>
    </xf>
    <xf numFmtId="4" fontId="11" fillId="23" borderId="10" xfId="0" applyNumberFormat="1" applyFont="1" applyFill="1" applyBorder="1" applyAlignment="1">
      <alignment vertical="center"/>
    </xf>
    <xf numFmtId="4" fontId="13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0" fontId="4" fillId="19" borderId="10" xfId="0" applyFont="1" applyFill="1" applyBorder="1" applyAlignment="1">
      <alignment vertical="center"/>
    </xf>
    <xf numFmtId="0" fontId="6" fillId="19" borderId="13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center" wrapText="1"/>
    </xf>
    <xf numFmtId="4" fontId="6" fillId="22" borderId="10" xfId="0" applyNumberFormat="1" applyFont="1" applyFill="1" applyBorder="1" applyAlignment="1">
      <alignment horizontal="right" vertical="center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21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4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4"/>
    </xf>
    <xf numFmtId="0" fontId="35" fillId="0" borderId="10" xfId="41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wrapText="1" indent="3"/>
    </xf>
    <xf numFmtId="0" fontId="2" fillId="0" borderId="15" xfId="0" applyFont="1" applyBorder="1"/>
    <xf numFmtId="0" fontId="10" fillId="0" borderId="0" xfId="41" applyFont="1" applyFill="1" applyBorder="1" applyAlignment="1">
      <alignment horizontal="left" vertical="center"/>
    </xf>
    <xf numFmtId="0" fontId="10" fillId="23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6" fillId="21" borderId="10" xfId="0" applyFont="1" applyFill="1" applyBorder="1" applyAlignment="1">
      <alignment horizontal="left" vertical="center" wrapText="1" indent="2"/>
    </xf>
    <xf numFmtId="165" fontId="2" fillId="0" borderId="13" xfId="0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 wrapText="1"/>
    </xf>
    <xf numFmtId="0" fontId="4" fillId="19" borderId="24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Dziesiętny 3 2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ny" xfId="0" builtinId="0"/>
    <cellStyle name="Normalny 2" xfId="40"/>
    <cellStyle name="Normalny 2 2" xfId="41"/>
    <cellStyle name="Note" xfId="42"/>
    <cellStyle name="Note 2" xfId="43"/>
    <cellStyle name="Output" xfId="44"/>
    <cellStyle name="Title" xfId="45"/>
    <cellStyle name="Total" xfId="46"/>
    <cellStyle name="Warning Text" xfId="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19"/>
  <sheetViews>
    <sheetView tabSelected="1" zoomScaleNormal="100" workbookViewId="0">
      <selection activeCell="B3" sqref="B3:B4"/>
    </sheetView>
  </sheetViews>
  <sheetFormatPr defaultRowHeight="12.75" outlineLevelRow="1" outlineLevelCol="1" x14ac:dyDescent="0.2"/>
  <cols>
    <col min="1" max="1" width="0.42578125" style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8" width="13" style="1" customWidth="1" outlineLevel="1"/>
    <col min="9" max="9" width="12" style="1" customWidth="1" outlineLevel="1"/>
    <col min="10" max="10" width="13" style="1" customWidth="1"/>
    <col min="11" max="11" width="7.42578125" style="1" customWidth="1"/>
    <col min="12" max="12" width="8.42578125" style="1" bestFit="1" customWidth="1"/>
    <col min="13" max="13" width="8.140625" style="1" customWidth="1"/>
    <col min="14" max="16384" width="9.140625" style="1"/>
  </cols>
  <sheetData>
    <row r="1" spans="2:13" ht="24.75" customHeight="1" x14ac:dyDescent="0.2">
      <c r="B1" s="87" t="str">
        <f>CONCATENATE("Informacja z wykonania budżetów jednostek samorządu terytorialnego za ",$D$117," ",$C$118," roku")</f>
        <v>Informacja z wykonania budżetów jednostek samorządu terytorialnego za I Kwartał 2023 roku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.75" customHeight="1" x14ac:dyDescent="0.2"/>
    <row r="3" spans="2:13" ht="66.75" customHeight="1" x14ac:dyDescent="0.2">
      <c r="B3" s="119" t="s">
        <v>0</v>
      </c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17" t="s">
        <v>2</v>
      </c>
      <c r="K3" s="15" t="s">
        <v>18</v>
      </c>
      <c r="L3" s="15" t="s">
        <v>3</v>
      </c>
    </row>
    <row r="4" spans="2:13" x14ac:dyDescent="0.2">
      <c r="B4" s="119"/>
      <c r="C4" s="120" t="s">
        <v>78</v>
      </c>
      <c r="D4" s="121"/>
      <c r="E4" s="121"/>
      <c r="F4" s="121"/>
      <c r="G4" s="121"/>
      <c r="H4" s="121"/>
      <c r="I4" s="122"/>
      <c r="J4" s="100" t="s">
        <v>4</v>
      </c>
      <c r="K4" s="100"/>
      <c r="L4" s="100"/>
    </row>
    <row r="5" spans="2:13" x14ac:dyDescent="0.2">
      <c r="B5" s="17">
        <v>1</v>
      </c>
      <c r="C5" s="19">
        <v>2</v>
      </c>
      <c r="D5" s="19">
        <v>3</v>
      </c>
      <c r="E5" s="17">
        <v>4</v>
      </c>
      <c r="F5" s="19">
        <v>5</v>
      </c>
      <c r="G5" s="19">
        <v>6</v>
      </c>
      <c r="H5" s="17">
        <v>7</v>
      </c>
      <c r="I5" s="19">
        <v>8</v>
      </c>
      <c r="J5" s="19">
        <v>9</v>
      </c>
      <c r="K5" s="17">
        <v>10</v>
      </c>
      <c r="L5" s="19">
        <v>11</v>
      </c>
    </row>
    <row r="6" spans="2:13" ht="12.75" customHeight="1" x14ac:dyDescent="0.2">
      <c r="B6" s="57" t="s">
        <v>5</v>
      </c>
      <c r="C6" s="58">
        <f>346057722488.11</f>
        <v>346057722488.10999</v>
      </c>
      <c r="D6" s="58">
        <f>90994927318.55</f>
        <v>90994927318.550003</v>
      </c>
      <c r="E6" s="58">
        <f>1246864880.24</f>
        <v>1246864880.24</v>
      </c>
      <c r="F6" s="58">
        <f>244886022.34</f>
        <v>244886022.34</v>
      </c>
      <c r="G6" s="58">
        <f>33954079.57</f>
        <v>33954079.57</v>
      </c>
      <c r="H6" s="58">
        <f>94562640.34</f>
        <v>94562640.340000004</v>
      </c>
      <c r="I6" s="58">
        <f>370638.03</f>
        <v>370638.03</v>
      </c>
      <c r="J6" s="59">
        <f t="shared" ref="J6:J52" si="0">IF($D$6=0,"",100*$D6/$D$6)</f>
        <v>100</v>
      </c>
      <c r="K6" s="59">
        <f t="shared" ref="K6:K52" si="1">IF(C6=0,"",100*D6/C6)</f>
        <v>26.294725245345866</v>
      </c>
      <c r="L6" s="59"/>
    </row>
    <row r="7" spans="2:13" ht="27.95" customHeight="1" x14ac:dyDescent="0.2">
      <c r="B7" s="76" t="s">
        <v>59</v>
      </c>
      <c r="C7" s="25">
        <f>C6-C22-C46</f>
        <v>174751424271.47998</v>
      </c>
      <c r="D7" s="25">
        <f>D6-D22-D46</f>
        <v>46395432985.380005</v>
      </c>
      <c r="E7" s="25">
        <f>E6</f>
        <v>1246864880.24</v>
      </c>
      <c r="F7" s="25">
        <f>F6</f>
        <v>244886022.34</v>
      </c>
      <c r="G7" s="25">
        <f>G6</f>
        <v>33954079.57</v>
      </c>
      <c r="H7" s="25">
        <f>H6</f>
        <v>94562640.340000004</v>
      </c>
      <c r="I7" s="25">
        <f>I6</f>
        <v>370638.03</v>
      </c>
      <c r="J7" s="34">
        <f t="shared" si="0"/>
        <v>50.986834489093482</v>
      </c>
      <c r="K7" s="34">
        <f t="shared" si="1"/>
        <v>26.549387610886495</v>
      </c>
      <c r="L7" s="34">
        <f t="shared" ref="L7:L21" si="2">IF($D$7=0,"",100*$D7/$D$7)</f>
        <v>99.999999999999986</v>
      </c>
    </row>
    <row r="8" spans="2:13" ht="23.1" customHeight="1" outlineLevel="1" x14ac:dyDescent="0.2">
      <c r="B8" s="31" t="s">
        <v>34</v>
      </c>
      <c r="C8" s="23">
        <f>21813012804</f>
        <v>21813012804</v>
      </c>
      <c r="D8" s="23">
        <f>5453170898</f>
        <v>5453170898</v>
      </c>
      <c r="E8" s="23">
        <f>0</f>
        <v>0</v>
      </c>
      <c r="F8" s="23">
        <f>0</f>
        <v>0</v>
      </c>
      <c r="G8" s="23">
        <f>0</f>
        <v>0</v>
      </c>
      <c r="H8" s="23">
        <f>0</f>
        <v>0</v>
      </c>
      <c r="I8" s="24">
        <f>0</f>
        <v>0</v>
      </c>
      <c r="J8" s="35">
        <f t="shared" si="0"/>
        <v>5.9928295551133761</v>
      </c>
      <c r="K8" s="35">
        <f t="shared" si="1"/>
        <v>24.999622688526618</v>
      </c>
      <c r="L8" s="35">
        <f t="shared" si="2"/>
        <v>11.753680367027478</v>
      </c>
    </row>
    <row r="9" spans="2:13" ht="23.1" customHeight="1" outlineLevel="1" x14ac:dyDescent="0.2">
      <c r="B9" s="31" t="s">
        <v>19</v>
      </c>
      <c r="C9" s="23">
        <f>51772018277.19</f>
        <v>51772018277.190002</v>
      </c>
      <c r="D9" s="23">
        <f>12933843567</f>
        <v>12933843567</v>
      </c>
      <c r="E9" s="23">
        <f>0</f>
        <v>0</v>
      </c>
      <c r="F9" s="23">
        <f>0</f>
        <v>0</v>
      </c>
      <c r="G9" s="23">
        <f>0</f>
        <v>0</v>
      </c>
      <c r="H9" s="23">
        <f>0</f>
        <v>0</v>
      </c>
      <c r="I9" s="24">
        <f>0</f>
        <v>0</v>
      </c>
      <c r="J9" s="35">
        <f t="shared" si="0"/>
        <v>14.213807239739769</v>
      </c>
      <c r="K9" s="35">
        <f t="shared" si="1"/>
        <v>24.982305108816789</v>
      </c>
      <c r="L9" s="35">
        <f t="shared" si="2"/>
        <v>27.877406750521491</v>
      </c>
    </row>
    <row r="10" spans="2:13" ht="12.95" customHeight="1" outlineLevel="1" x14ac:dyDescent="0.2">
      <c r="B10" s="31" t="s">
        <v>20</v>
      </c>
      <c r="C10" s="23">
        <f>2006237301.96</f>
        <v>2006237301.96</v>
      </c>
      <c r="D10" s="23">
        <f>796854313.82</f>
        <v>796854313.82000005</v>
      </c>
      <c r="E10" s="23">
        <f>69797097.64</f>
        <v>69797097.640000001</v>
      </c>
      <c r="F10" s="23">
        <f>1167624.83</f>
        <v>1167624.83</v>
      </c>
      <c r="G10" s="23">
        <f>492920.46</f>
        <v>492920.46</v>
      </c>
      <c r="H10" s="23">
        <f>1103881.03</f>
        <v>1103881.03</v>
      </c>
      <c r="I10" s="24">
        <f>0</f>
        <v>0</v>
      </c>
      <c r="J10" s="35">
        <f t="shared" si="0"/>
        <v>0.87571289664358598</v>
      </c>
      <c r="K10" s="35">
        <f t="shared" si="1"/>
        <v>39.718846471527101</v>
      </c>
      <c r="L10" s="35">
        <f t="shared" si="2"/>
        <v>1.7175274861021395</v>
      </c>
    </row>
    <row r="11" spans="2:13" ht="12.95" customHeight="1" outlineLevel="1" x14ac:dyDescent="0.2">
      <c r="B11" s="31" t="s">
        <v>21</v>
      </c>
      <c r="C11" s="23">
        <f>30968190887.19</f>
        <v>30968190887.189999</v>
      </c>
      <c r="D11" s="23">
        <f>9094815208.28</f>
        <v>9094815208.2800007</v>
      </c>
      <c r="E11" s="23">
        <f>730774104.46</f>
        <v>730774104.46000004</v>
      </c>
      <c r="F11" s="23">
        <f>241286318.7</f>
        <v>241286318.69999999</v>
      </c>
      <c r="G11" s="23">
        <f>26783815.41</f>
        <v>26783815.41</v>
      </c>
      <c r="H11" s="23">
        <f>73346058.26</f>
        <v>73346058.260000005</v>
      </c>
      <c r="I11" s="24">
        <f>310157.09</f>
        <v>310157.09000000003</v>
      </c>
      <c r="J11" s="35">
        <f t="shared" si="0"/>
        <v>9.9948595776568681</v>
      </c>
      <c r="K11" s="35">
        <f t="shared" si="1"/>
        <v>29.368248346861211</v>
      </c>
      <c r="L11" s="35">
        <f t="shared" si="2"/>
        <v>19.602824293386664</v>
      </c>
    </row>
    <row r="12" spans="2:13" ht="12.95" customHeight="1" outlineLevel="1" x14ac:dyDescent="0.2">
      <c r="B12" s="31" t="s">
        <v>22</v>
      </c>
      <c r="C12" s="23">
        <f>455456989.89</f>
        <v>455456989.88999999</v>
      </c>
      <c r="D12" s="23">
        <f>162408446.59</f>
        <v>162408446.59</v>
      </c>
      <c r="E12" s="23">
        <f>1848279.08</f>
        <v>1848279.08</v>
      </c>
      <c r="F12" s="23">
        <f>291803.33</f>
        <v>291803.33</v>
      </c>
      <c r="G12" s="23">
        <f>24960.91</f>
        <v>24960.91</v>
      </c>
      <c r="H12" s="23">
        <f>26672.12</f>
        <v>26672.12</v>
      </c>
      <c r="I12" s="24">
        <f>0</f>
        <v>0</v>
      </c>
      <c r="J12" s="35">
        <f t="shared" si="0"/>
        <v>0.178480769616365</v>
      </c>
      <c r="K12" s="35">
        <f t="shared" si="1"/>
        <v>35.658349788247662</v>
      </c>
      <c r="L12" s="35">
        <f t="shared" si="2"/>
        <v>0.35005265850450773</v>
      </c>
    </row>
    <row r="13" spans="2:13" ht="12.95" customHeight="1" outlineLevel="1" x14ac:dyDescent="0.2">
      <c r="B13" s="31" t="s">
        <v>23</v>
      </c>
      <c r="C13" s="23">
        <f>1441731501.69</f>
        <v>1441731501.6900001</v>
      </c>
      <c r="D13" s="23">
        <f>658365137.51</f>
        <v>658365137.50999999</v>
      </c>
      <c r="E13" s="23">
        <f>437738775.88</f>
        <v>437738775.88</v>
      </c>
      <c r="F13" s="23">
        <f>958813.25</f>
        <v>958813.25</v>
      </c>
      <c r="G13" s="23">
        <f>669195.45</f>
        <v>669195.44999999995</v>
      </c>
      <c r="H13" s="23">
        <f>5398767.66</f>
        <v>5398767.6600000001</v>
      </c>
      <c r="I13" s="24">
        <f>0</f>
        <v>0</v>
      </c>
      <c r="J13" s="35">
        <f t="shared" si="0"/>
        <v>0.72351850472414991</v>
      </c>
      <c r="K13" s="35">
        <f t="shared" si="1"/>
        <v>45.66489230056105</v>
      </c>
      <c r="L13" s="35">
        <f t="shared" si="2"/>
        <v>1.4190300534913902</v>
      </c>
    </row>
    <row r="14" spans="2:13" ht="33" customHeight="1" outlineLevel="1" x14ac:dyDescent="0.2">
      <c r="B14" s="31" t="s">
        <v>43</v>
      </c>
      <c r="C14" s="23">
        <f>183496980.18</f>
        <v>183496980.18000001</v>
      </c>
      <c r="D14" s="23">
        <f>27374005.98</f>
        <v>27374005.98</v>
      </c>
      <c r="E14" s="23">
        <f>0</f>
        <v>0</v>
      </c>
      <c r="F14" s="23">
        <f>0</f>
        <v>0</v>
      </c>
      <c r="G14" s="23">
        <f>7842</f>
        <v>7842</v>
      </c>
      <c r="H14" s="23">
        <f>62552.13</f>
        <v>62552.13</v>
      </c>
      <c r="I14" s="24">
        <f>0</f>
        <v>0</v>
      </c>
      <c r="J14" s="35">
        <f t="shared" si="0"/>
        <v>3.0083002192166818E-2</v>
      </c>
      <c r="K14" s="35">
        <f t="shared" si="1"/>
        <v>14.917959932173092</v>
      </c>
      <c r="L14" s="35">
        <f t="shared" si="2"/>
        <v>5.9001509887031379E-2</v>
      </c>
    </row>
    <row r="15" spans="2:13" ht="12.95" customHeight="1" outlineLevel="1" x14ac:dyDescent="0.2">
      <c r="B15" s="31" t="s">
        <v>28</v>
      </c>
      <c r="C15" s="23">
        <f>431147005.95</f>
        <v>431147005.94999999</v>
      </c>
      <c r="D15" s="23">
        <f>143326310.87</f>
        <v>143326310.87</v>
      </c>
      <c r="E15" s="23">
        <f>0</f>
        <v>0</v>
      </c>
      <c r="F15" s="23">
        <f>0</f>
        <v>0</v>
      </c>
      <c r="G15" s="23">
        <f>1692098.61</f>
        <v>1692098.61</v>
      </c>
      <c r="H15" s="23">
        <f>5104302.08</f>
        <v>5104302.0800000001</v>
      </c>
      <c r="I15" s="24">
        <f>0</f>
        <v>0</v>
      </c>
      <c r="J15" s="35">
        <f t="shared" si="0"/>
        <v>0.15751022072719634</v>
      </c>
      <c r="K15" s="35">
        <f t="shared" si="1"/>
        <v>33.243025903471427</v>
      </c>
      <c r="L15" s="35">
        <f t="shared" si="2"/>
        <v>0.30892331776527354</v>
      </c>
    </row>
    <row r="16" spans="2:13" ht="23.1" customHeight="1" outlineLevel="1" x14ac:dyDescent="0.2">
      <c r="B16" s="31" t="s">
        <v>29</v>
      </c>
      <c r="C16" s="23">
        <f>3788075703.13</f>
        <v>3788075703.1300001</v>
      </c>
      <c r="D16" s="23">
        <f>840774333.61</f>
        <v>840774333.61000001</v>
      </c>
      <c r="E16" s="23">
        <f>0</f>
        <v>0</v>
      </c>
      <c r="F16" s="23">
        <f>0</f>
        <v>0</v>
      </c>
      <c r="G16" s="23">
        <f>89219</f>
        <v>89219</v>
      </c>
      <c r="H16" s="23">
        <f>340399.16</f>
        <v>340399.16</v>
      </c>
      <c r="I16" s="24">
        <f>0</f>
        <v>0</v>
      </c>
      <c r="J16" s="35">
        <f t="shared" si="0"/>
        <v>0.92397934520752323</v>
      </c>
      <c r="K16" s="35">
        <f t="shared" si="1"/>
        <v>22.195288571326266</v>
      </c>
      <c r="L16" s="35">
        <f t="shared" si="2"/>
        <v>1.8121920187164595</v>
      </c>
    </row>
    <row r="17" spans="2:12" ht="12.95" customHeight="1" outlineLevel="1" x14ac:dyDescent="0.2">
      <c r="B17" s="31" t="s">
        <v>30</v>
      </c>
      <c r="C17" s="23">
        <f>597329072.49</f>
        <v>597329072.49000001</v>
      </c>
      <c r="D17" s="23">
        <f>157387441.88</f>
        <v>157387441.88</v>
      </c>
      <c r="E17" s="23">
        <f>0</f>
        <v>0</v>
      </c>
      <c r="F17" s="23">
        <f>0</f>
        <v>0</v>
      </c>
      <c r="G17" s="23">
        <f>1121</f>
        <v>1121</v>
      </c>
      <c r="H17" s="23">
        <f>0</f>
        <v>0</v>
      </c>
      <c r="I17" s="24">
        <f>0</f>
        <v>0</v>
      </c>
      <c r="J17" s="35">
        <f t="shared" si="0"/>
        <v>0.17296287443477673</v>
      </c>
      <c r="K17" s="35">
        <f t="shared" si="1"/>
        <v>26.348532011663444</v>
      </c>
      <c r="L17" s="35">
        <f t="shared" si="2"/>
        <v>0.33923046246727662</v>
      </c>
    </row>
    <row r="18" spans="2:12" ht="12.95" customHeight="1" outlineLevel="1" x14ac:dyDescent="0.2">
      <c r="B18" s="31" t="s">
        <v>31</v>
      </c>
      <c r="C18" s="23">
        <f>473453949.94</f>
        <v>473453949.94</v>
      </c>
      <c r="D18" s="23">
        <f>226230688.36</f>
        <v>226230688.36000001</v>
      </c>
      <c r="E18" s="23">
        <f>0</f>
        <v>0</v>
      </c>
      <c r="F18" s="23">
        <f>0</f>
        <v>0</v>
      </c>
      <c r="G18" s="23">
        <f>0</f>
        <v>0</v>
      </c>
      <c r="H18" s="23">
        <f>564836.82</f>
        <v>564836.81999999995</v>
      </c>
      <c r="I18" s="24">
        <f>0</f>
        <v>0</v>
      </c>
      <c r="J18" s="35">
        <f t="shared" si="0"/>
        <v>0.24861901100049691</v>
      </c>
      <c r="K18" s="35">
        <f t="shared" si="1"/>
        <v>47.78303959417169</v>
      </c>
      <c r="L18" s="35">
        <f t="shared" si="2"/>
        <v>0.48761413312230356</v>
      </c>
    </row>
    <row r="19" spans="2:12" ht="12.95" customHeight="1" outlineLevel="1" x14ac:dyDescent="0.2">
      <c r="B19" s="31" t="s">
        <v>32</v>
      </c>
      <c r="C19" s="23">
        <f>125595653.67</f>
        <v>125595653.67</v>
      </c>
      <c r="D19" s="23">
        <f>18133751.19</f>
        <v>18133751.190000001</v>
      </c>
      <c r="E19" s="23">
        <f>80341.43</f>
        <v>80341.429999999993</v>
      </c>
      <c r="F19" s="23">
        <f>0</f>
        <v>0</v>
      </c>
      <c r="G19" s="23">
        <f>600</f>
        <v>600</v>
      </c>
      <c r="H19" s="23">
        <f>81793.95</f>
        <v>81793.95</v>
      </c>
      <c r="I19" s="24">
        <f>0</f>
        <v>0</v>
      </c>
      <c r="J19" s="35">
        <f t="shared" si="0"/>
        <v>1.992830998866384E-2</v>
      </c>
      <c r="K19" s="35">
        <f t="shared" si="1"/>
        <v>14.438199619268721</v>
      </c>
      <c r="L19" s="35">
        <f t="shared" si="2"/>
        <v>3.9085207364514214E-2</v>
      </c>
    </row>
    <row r="20" spans="2:12" ht="12.95" customHeight="1" outlineLevel="1" x14ac:dyDescent="0.2">
      <c r="B20" s="31" t="s">
        <v>24</v>
      </c>
      <c r="C20" s="23">
        <f>11418840899.44</f>
        <v>11418840899.440001</v>
      </c>
      <c r="D20" s="23">
        <f>2094086804.22</f>
        <v>2094086804.22</v>
      </c>
      <c r="E20" s="23">
        <f>0</f>
        <v>0</v>
      </c>
      <c r="F20" s="23">
        <f>0</f>
        <v>0</v>
      </c>
      <c r="G20" s="23">
        <f>0</f>
        <v>0</v>
      </c>
      <c r="H20" s="23">
        <f>0</f>
        <v>0</v>
      </c>
      <c r="I20" s="24">
        <f>0</f>
        <v>0</v>
      </c>
      <c r="J20" s="35">
        <f t="shared" si="0"/>
        <v>2.3013225747069801</v>
      </c>
      <c r="K20" s="35">
        <f t="shared" si="1"/>
        <v>18.338873644545636</v>
      </c>
      <c r="L20" s="35">
        <f t="shared" si="2"/>
        <v>4.5135623691234494</v>
      </c>
    </row>
    <row r="21" spans="2:12" ht="12.95" customHeight="1" outlineLevel="1" x14ac:dyDescent="0.2">
      <c r="B21" s="31" t="s">
        <v>25</v>
      </c>
      <c r="C21" s="23">
        <f>C7-C8-C9-C10-C11-C12-C13-C14-C15-C16-C17-C18-C19-C20</f>
        <v>49276837244.759972</v>
      </c>
      <c r="D21" s="23">
        <f t="shared" ref="D21:I21" si="3">D7-D8-D9-D10-D11-D12-D13-D14-D15-D16-D17-D18-D19-D20</f>
        <v>13788662078.070007</v>
      </c>
      <c r="E21" s="23">
        <f t="shared" si="3"/>
        <v>6626281.7499998882</v>
      </c>
      <c r="F21" s="23">
        <f t="shared" si="3"/>
        <v>1181462.2300000023</v>
      </c>
      <c r="G21" s="23">
        <f t="shared" si="3"/>
        <v>4192306.7299999986</v>
      </c>
      <c r="H21" s="23">
        <f t="shared" si="3"/>
        <v>8533377.1299999952</v>
      </c>
      <c r="I21" s="24">
        <f t="shared" si="3"/>
        <v>60480.94</v>
      </c>
      <c r="J21" s="35">
        <f t="shared" si="0"/>
        <v>15.153220607341575</v>
      </c>
      <c r="K21" s="35">
        <f t="shared" si="1"/>
        <v>27.982035473545483</v>
      </c>
      <c r="L21" s="35">
        <f t="shared" si="2"/>
        <v>29.71986937252003</v>
      </c>
    </row>
    <row r="22" spans="2:12" ht="27.95" customHeight="1" x14ac:dyDescent="0.2">
      <c r="B22" s="77" t="s">
        <v>103</v>
      </c>
      <c r="C22" s="58">
        <f>C23+C42+C44</f>
        <v>87111514433.570007</v>
      </c>
      <c r="D22" s="58">
        <f>D23+D42+D44</f>
        <v>15017998366.17</v>
      </c>
      <c r="E22" s="60" t="s">
        <v>58</v>
      </c>
      <c r="F22" s="60" t="s">
        <v>58</v>
      </c>
      <c r="G22" s="60" t="s">
        <v>58</v>
      </c>
      <c r="H22" s="60" t="s">
        <v>58</v>
      </c>
      <c r="I22" s="60" t="s">
        <v>58</v>
      </c>
      <c r="J22" s="59">
        <f t="shared" si="0"/>
        <v>16.504214914745546</v>
      </c>
      <c r="K22" s="59">
        <f t="shared" si="1"/>
        <v>17.239969324172996</v>
      </c>
      <c r="L22" s="61"/>
    </row>
    <row r="23" spans="2:12" ht="27.95" customHeight="1" outlineLevel="1" x14ac:dyDescent="0.2">
      <c r="B23" s="82" t="s">
        <v>60</v>
      </c>
      <c r="C23" s="58">
        <f>C24+C26+C28+C30+C32+C34+C36+C38+C40</f>
        <v>68082743802.070007</v>
      </c>
      <c r="D23" s="58">
        <f>D24+D26+D28+D30+D32+D34+D36+D38+D40</f>
        <v>12156105367.459999</v>
      </c>
      <c r="E23" s="60" t="s">
        <v>58</v>
      </c>
      <c r="F23" s="60" t="s">
        <v>58</v>
      </c>
      <c r="G23" s="60" t="s">
        <v>58</v>
      </c>
      <c r="H23" s="60" t="s">
        <v>58</v>
      </c>
      <c r="I23" s="60" t="s">
        <v>58</v>
      </c>
      <c r="J23" s="59">
        <f t="shared" si="0"/>
        <v>13.35910223314381</v>
      </c>
      <c r="K23" s="59">
        <f t="shared" si="1"/>
        <v>17.854899330732323</v>
      </c>
      <c r="L23" s="61"/>
    </row>
    <row r="24" spans="2:12" ht="24.95" customHeight="1" outlineLevel="1" x14ac:dyDescent="0.2">
      <c r="B24" s="81" t="s">
        <v>9</v>
      </c>
      <c r="C24" s="24">
        <f>21333154910.51</f>
        <v>21333154910.509998</v>
      </c>
      <c r="D24" s="24">
        <f>6455650023.22</f>
        <v>6455650023.2200003</v>
      </c>
      <c r="E24" s="24" t="s">
        <v>58</v>
      </c>
      <c r="F24" s="24" t="s">
        <v>58</v>
      </c>
      <c r="G24" s="24" t="s">
        <v>58</v>
      </c>
      <c r="H24" s="24" t="s">
        <v>58</v>
      </c>
      <c r="I24" s="24" t="s">
        <v>58</v>
      </c>
      <c r="J24" s="35">
        <f t="shared" si="0"/>
        <v>7.0945163796003898</v>
      </c>
      <c r="K24" s="35">
        <f t="shared" si="1"/>
        <v>30.261112574772319</v>
      </c>
      <c r="L24" s="30"/>
    </row>
    <row r="25" spans="2:12" ht="12.95" customHeight="1" outlineLevel="1" x14ac:dyDescent="0.2">
      <c r="B25" s="83" t="s">
        <v>6</v>
      </c>
      <c r="C25" s="24">
        <f>152313958.63</f>
        <v>152313958.63</v>
      </c>
      <c r="D25" s="24">
        <f>9011885.61</f>
        <v>9011885.6099999994</v>
      </c>
      <c r="E25" s="24" t="s">
        <v>58</v>
      </c>
      <c r="F25" s="24" t="s">
        <v>58</v>
      </c>
      <c r="G25" s="24" t="s">
        <v>58</v>
      </c>
      <c r="H25" s="24" t="s">
        <v>58</v>
      </c>
      <c r="I25" s="24" t="s">
        <v>58</v>
      </c>
      <c r="J25" s="35">
        <f t="shared" si="0"/>
        <v>9.903723070684687E-3</v>
      </c>
      <c r="K25" s="35">
        <f t="shared" si="1"/>
        <v>5.9166511664840975</v>
      </c>
      <c r="L25" s="30"/>
    </row>
    <row r="26" spans="2:12" ht="12.95" customHeight="1" outlineLevel="1" x14ac:dyDescent="0.2">
      <c r="B26" s="81" t="s">
        <v>7</v>
      </c>
      <c r="C26" s="24">
        <f>5768134053.88</f>
        <v>5768134053.8800001</v>
      </c>
      <c r="D26" s="24">
        <f>1138166224.36</f>
        <v>1138166224.3599999</v>
      </c>
      <c r="E26" s="24" t="s">
        <v>58</v>
      </c>
      <c r="F26" s="24" t="s">
        <v>58</v>
      </c>
      <c r="G26" s="24" t="s">
        <v>58</v>
      </c>
      <c r="H26" s="24" t="s">
        <v>58</v>
      </c>
      <c r="I26" s="24" t="s">
        <v>58</v>
      </c>
      <c r="J26" s="35">
        <f t="shared" si="0"/>
        <v>1.250801839069084</v>
      </c>
      <c r="K26" s="35">
        <f t="shared" si="1"/>
        <v>19.731965549489953</v>
      </c>
      <c r="L26" s="30"/>
    </row>
    <row r="27" spans="2:12" ht="12.95" customHeight="1" outlineLevel="1" x14ac:dyDescent="0.2">
      <c r="B27" s="83" t="s">
        <v>6</v>
      </c>
      <c r="C27" s="24">
        <f>854589040.06</f>
        <v>854589040.05999994</v>
      </c>
      <c r="D27" s="24">
        <f>82256224.39</f>
        <v>82256224.390000001</v>
      </c>
      <c r="E27" s="24" t="s">
        <v>58</v>
      </c>
      <c r="F27" s="24" t="s">
        <v>58</v>
      </c>
      <c r="G27" s="24" t="s">
        <v>58</v>
      </c>
      <c r="H27" s="24" t="s">
        <v>58</v>
      </c>
      <c r="I27" s="24" t="s">
        <v>58</v>
      </c>
      <c r="J27" s="35">
        <f t="shared" si="0"/>
        <v>9.0396494413410508E-2</v>
      </c>
      <c r="K27" s="35">
        <f t="shared" si="1"/>
        <v>9.6252374573192352</v>
      </c>
      <c r="L27" s="30"/>
    </row>
    <row r="28" spans="2:12" ht="33" customHeight="1" outlineLevel="1" x14ac:dyDescent="0.2">
      <c r="B28" s="81" t="s">
        <v>10</v>
      </c>
      <c r="C28" s="24">
        <f>253551995.4</f>
        <v>253551995.40000001</v>
      </c>
      <c r="D28" s="24">
        <f>34376161.07</f>
        <v>34376161.07</v>
      </c>
      <c r="E28" s="24" t="s">
        <v>58</v>
      </c>
      <c r="F28" s="24" t="s">
        <v>58</v>
      </c>
      <c r="G28" s="24" t="s">
        <v>58</v>
      </c>
      <c r="H28" s="24" t="s">
        <v>58</v>
      </c>
      <c r="I28" s="24" t="s">
        <v>58</v>
      </c>
      <c r="J28" s="35">
        <f t="shared" si="0"/>
        <v>3.7778107069263149E-2</v>
      </c>
      <c r="K28" s="35">
        <f t="shared" si="1"/>
        <v>13.557834958375564</v>
      </c>
      <c r="L28" s="30"/>
    </row>
    <row r="29" spans="2:12" ht="12.95" customHeight="1" outlineLevel="1" x14ac:dyDescent="0.2">
      <c r="B29" s="83" t="s">
        <v>6</v>
      </c>
      <c r="C29" s="24">
        <f>44895102.47</f>
        <v>44895102.469999999</v>
      </c>
      <c r="D29" s="24">
        <f>3067055.09</f>
        <v>3067055.09</v>
      </c>
      <c r="E29" s="24" t="s">
        <v>58</v>
      </c>
      <c r="F29" s="24" t="s">
        <v>58</v>
      </c>
      <c r="G29" s="24" t="s">
        <v>58</v>
      </c>
      <c r="H29" s="24" t="s">
        <v>58</v>
      </c>
      <c r="I29" s="24" t="s">
        <v>58</v>
      </c>
      <c r="J29" s="35">
        <f t="shared" si="0"/>
        <v>3.3705780974614369E-3</v>
      </c>
      <c r="K29" s="35">
        <f t="shared" si="1"/>
        <v>6.8316028280578731</v>
      </c>
      <c r="L29" s="30"/>
    </row>
    <row r="30" spans="2:12" ht="27.95" customHeight="1" outlineLevel="1" x14ac:dyDescent="0.2">
      <c r="B30" s="81" t="s">
        <v>11</v>
      </c>
      <c r="C30" s="24">
        <f>1734133552.04</f>
        <v>1734133552.04</v>
      </c>
      <c r="D30" s="24">
        <f>367239067.31</f>
        <v>367239067.31</v>
      </c>
      <c r="E30" s="24" t="s">
        <v>58</v>
      </c>
      <c r="F30" s="24" t="s">
        <v>58</v>
      </c>
      <c r="G30" s="24" t="s">
        <v>58</v>
      </c>
      <c r="H30" s="24" t="s">
        <v>58</v>
      </c>
      <c r="I30" s="24" t="s">
        <v>58</v>
      </c>
      <c r="J30" s="35">
        <f t="shared" si="0"/>
        <v>0.40358191179645631</v>
      </c>
      <c r="K30" s="35">
        <f t="shared" si="1"/>
        <v>21.177092553107418</v>
      </c>
      <c r="L30" s="30"/>
    </row>
    <row r="31" spans="2:12" ht="12.95" customHeight="1" outlineLevel="1" x14ac:dyDescent="0.2">
      <c r="B31" s="83" t="s">
        <v>6</v>
      </c>
      <c r="C31" s="24">
        <f>285453653.85</f>
        <v>285453653.85000002</v>
      </c>
      <c r="D31" s="24">
        <f>22655547.55</f>
        <v>22655547.550000001</v>
      </c>
      <c r="E31" s="24" t="s">
        <v>58</v>
      </c>
      <c r="F31" s="24" t="s">
        <v>58</v>
      </c>
      <c r="G31" s="24" t="s">
        <v>58</v>
      </c>
      <c r="H31" s="24" t="s">
        <v>58</v>
      </c>
      <c r="I31" s="24" t="s">
        <v>58</v>
      </c>
      <c r="J31" s="35">
        <f t="shared" si="0"/>
        <v>2.4897593984210476E-2</v>
      </c>
      <c r="K31" s="35">
        <f t="shared" si="1"/>
        <v>7.936681574902881</v>
      </c>
      <c r="L31" s="30"/>
    </row>
    <row r="32" spans="2:12" ht="33.75" outlineLevel="1" x14ac:dyDescent="0.2">
      <c r="B32" s="81" t="s">
        <v>79</v>
      </c>
      <c r="C32" s="24">
        <f>1750466859.92</f>
        <v>1750466859.9200001</v>
      </c>
      <c r="D32" s="24">
        <f>255186241.88</f>
        <v>255186241.88</v>
      </c>
      <c r="E32" s="24" t="s">
        <v>58</v>
      </c>
      <c r="F32" s="24" t="s">
        <v>58</v>
      </c>
      <c r="G32" s="24" t="s">
        <v>58</v>
      </c>
      <c r="H32" s="24" t="s">
        <v>58</v>
      </c>
      <c r="I32" s="24" t="s">
        <v>58</v>
      </c>
      <c r="J32" s="35">
        <f t="shared" si="0"/>
        <v>0.28044007440838775</v>
      </c>
      <c r="K32" s="35">
        <f t="shared" si="1"/>
        <v>14.578181839538654</v>
      </c>
      <c r="L32" s="30"/>
    </row>
    <row r="33" spans="2:12" ht="12.95" customHeight="1" outlineLevel="1" x14ac:dyDescent="0.2">
      <c r="B33" s="83" t="s">
        <v>6</v>
      </c>
      <c r="C33" s="24">
        <f>1513853282.57</f>
        <v>1513853282.5699999</v>
      </c>
      <c r="D33" s="24">
        <f>199968474.4</f>
        <v>199968474.40000001</v>
      </c>
      <c r="E33" s="24" t="s">
        <v>58</v>
      </c>
      <c r="F33" s="24" t="s">
        <v>58</v>
      </c>
      <c r="G33" s="24" t="s">
        <v>58</v>
      </c>
      <c r="H33" s="24" t="s">
        <v>58</v>
      </c>
      <c r="I33" s="24" t="s">
        <v>58</v>
      </c>
      <c r="J33" s="35">
        <f t="shared" si="0"/>
        <v>0.21975782638955405</v>
      </c>
      <c r="K33" s="35">
        <f t="shared" si="1"/>
        <v>13.209237427587606</v>
      </c>
      <c r="L33" s="30"/>
    </row>
    <row r="34" spans="2:12" ht="12.95" customHeight="1" outlineLevel="1" x14ac:dyDescent="0.2">
      <c r="B34" s="81" t="s">
        <v>8</v>
      </c>
      <c r="C34" s="24">
        <f>713947630.31</f>
        <v>713947630.30999994</v>
      </c>
      <c r="D34" s="24">
        <f>144794577.65</f>
        <v>144794577.65000001</v>
      </c>
      <c r="E34" s="24" t="s">
        <v>58</v>
      </c>
      <c r="F34" s="24" t="s">
        <v>58</v>
      </c>
      <c r="G34" s="24" t="s">
        <v>58</v>
      </c>
      <c r="H34" s="24" t="s">
        <v>58</v>
      </c>
      <c r="I34" s="24" t="s">
        <v>58</v>
      </c>
      <c r="J34" s="35">
        <f t="shared" si="0"/>
        <v>0.15912379065166035</v>
      </c>
      <c r="K34" s="35">
        <f t="shared" si="1"/>
        <v>20.280840148895713</v>
      </c>
      <c r="L34" s="30"/>
    </row>
    <row r="35" spans="2:12" ht="12.95" customHeight="1" outlineLevel="1" x14ac:dyDescent="0.2">
      <c r="B35" s="83" t="s">
        <v>6</v>
      </c>
      <c r="C35" s="24">
        <f>604021949.59</f>
        <v>604021949.59000003</v>
      </c>
      <c r="D35" s="24">
        <f>97661912.15</f>
        <v>97661912.150000006</v>
      </c>
      <c r="E35" s="24" t="s">
        <v>58</v>
      </c>
      <c r="F35" s="24" t="s">
        <v>58</v>
      </c>
      <c r="G35" s="24" t="s">
        <v>58</v>
      </c>
      <c r="H35" s="24" t="s">
        <v>58</v>
      </c>
      <c r="I35" s="24" t="s">
        <v>58</v>
      </c>
      <c r="J35" s="35">
        <f t="shared" si="0"/>
        <v>0.10732676537903106</v>
      </c>
      <c r="K35" s="35">
        <f t="shared" si="1"/>
        <v>16.168603180114772</v>
      </c>
      <c r="L35" s="30"/>
    </row>
    <row r="36" spans="2:12" ht="67.5" outlineLevel="1" x14ac:dyDescent="0.2">
      <c r="B36" s="81" t="s">
        <v>96</v>
      </c>
      <c r="C36" s="24">
        <f>6734691.53</f>
        <v>6734691.5300000003</v>
      </c>
      <c r="D36" s="24">
        <f>500000</f>
        <v>500000</v>
      </c>
      <c r="E36" s="24" t="s">
        <v>58</v>
      </c>
      <c r="F36" s="24" t="s">
        <v>58</v>
      </c>
      <c r="G36" s="24" t="s">
        <v>58</v>
      </c>
      <c r="H36" s="24" t="s">
        <v>58</v>
      </c>
      <c r="I36" s="24" t="s">
        <v>58</v>
      </c>
      <c r="J36" s="35">
        <f t="shared" si="0"/>
        <v>5.4948117959326202E-4</v>
      </c>
      <c r="K36" s="35">
        <f t="shared" si="1"/>
        <v>7.4242450121542536</v>
      </c>
      <c r="L36" s="30"/>
    </row>
    <row r="37" spans="2:12" ht="12.95" customHeight="1" outlineLevel="1" x14ac:dyDescent="0.2">
      <c r="B37" s="83" t="s">
        <v>94</v>
      </c>
      <c r="C37" s="24">
        <f>6209691.53</f>
        <v>6209691.5300000003</v>
      </c>
      <c r="D37" s="24">
        <f>0</f>
        <v>0</v>
      </c>
      <c r="E37" s="24" t="s">
        <v>58</v>
      </c>
      <c r="F37" s="24" t="s">
        <v>58</v>
      </c>
      <c r="G37" s="24" t="s">
        <v>58</v>
      </c>
      <c r="H37" s="24" t="s">
        <v>58</v>
      </c>
      <c r="I37" s="24" t="s">
        <v>58</v>
      </c>
      <c r="J37" s="35">
        <f t="shared" si="0"/>
        <v>0</v>
      </c>
      <c r="K37" s="35">
        <f t="shared" si="1"/>
        <v>0</v>
      </c>
      <c r="L37" s="30"/>
    </row>
    <row r="38" spans="2:12" ht="45" outlineLevel="1" x14ac:dyDescent="0.2">
      <c r="B38" s="84" t="s">
        <v>93</v>
      </c>
      <c r="C38" s="24">
        <f>34690745238.32</f>
        <v>34690745238.32</v>
      </c>
      <c r="D38" s="24">
        <f>2220669853.31</f>
        <v>2220669853.3099999</v>
      </c>
      <c r="E38" s="24" t="s">
        <v>58</v>
      </c>
      <c r="F38" s="24" t="s">
        <v>58</v>
      </c>
      <c r="G38" s="24" t="s">
        <v>58</v>
      </c>
      <c r="H38" s="24" t="s">
        <v>58</v>
      </c>
      <c r="I38" s="24" t="s">
        <v>58</v>
      </c>
      <c r="J38" s="35">
        <f t="shared" si="0"/>
        <v>2.4404325809679501</v>
      </c>
      <c r="K38" s="35">
        <f t="shared" si="1"/>
        <v>6.4013322229152045</v>
      </c>
      <c r="L38" s="30"/>
    </row>
    <row r="39" spans="2:12" ht="12.95" customHeight="1" outlineLevel="1" x14ac:dyDescent="0.2">
      <c r="B39" s="85" t="s">
        <v>6</v>
      </c>
      <c r="C39" s="24">
        <f>33808476397.02</f>
        <v>33808476397.02</v>
      </c>
      <c r="D39" s="24">
        <f>1712840474.12</f>
        <v>1712840474.1199999</v>
      </c>
      <c r="E39" s="24" t="s">
        <v>58</v>
      </c>
      <c r="F39" s="24" t="s">
        <v>58</v>
      </c>
      <c r="G39" s="24" t="s">
        <v>58</v>
      </c>
      <c r="H39" s="24" t="s">
        <v>58</v>
      </c>
      <c r="I39" s="24" t="s">
        <v>58</v>
      </c>
      <c r="J39" s="35">
        <f t="shared" si="0"/>
        <v>1.8823472083490795</v>
      </c>
      <c r="K39" s="35">
        <f t="shared" si="1"/>
        <v>5.066304834343188</v>
      </c>
      <c r="L39" s="30"/>
    </row>
    <row r="40" spans="2:12" ht="22.5" outlineLevel="1" x14ac:dyDescent="0.2">
      <c r="B40" s="84" t="s">
        <v>105</v>
      </c>
      <c r="C40" s="24">
        <f>1831874870.16</f>
        <v>1831874870.1600001</v>
      </c>
      <c r="D40" s="24">
        <f>1539523218.66</f>
        <v>1539523218.6600001</v>
      </c>
      <c r="E40" s="24" t="s">
        <v>58</v>
      </c>
      <c r="F40" s="24" t="s">
        <v>58</v>
      </c>
      <c r="G40" s="24" t="s">
        <v>58</v>
      </c>
      <c r="H40" s="24" t="s">
        <v>58</v>
      </c>
      <c r="I40" s="24" t="s">
        <v>58</v>
      </c>
      <c r="J40" s="35">
        <f t="shared" si="0"/>
        <v>1.6918780684010246</v>
      </c>
      <c r="K40" s="35">
        <f t="shared" si="1"/>
        <v>84.040850373450155</v>
      </c>
      <c r="L40" s="30"/>
    </row>
    <row r="41" spans="2:12" ht="12.95" customHeight="1" outlineLevel="1" x14ac:dyDescent="0.2">
      <c r="B41" s="85" t="s">
        <v>6</v>
      </c>
      <c r="C41" s="24">
        <f>12527679.94</f>
        <v>12527679.939999999</v>
      </c>
      <c r="D41" s="24">
        <f>255927.44</f>
        <v>255927.44</v>
      </c>
      <c r="E41" s="24" t="s">
        <v>58</v>
      </c>
      <c r="F41" s="24" t="s">
        <v>58</v>
      </c>
      <c r="G41" s="24" t="s">
        <v>58</v>
      </c>
      <c r="H41" s="24" t="s">
        <v>58</v>
      </c>
      <c r="I41" s="24" t="s">
        <v>58</v>
      </c>
      <c r="J41" s="35">
        <f t="shared" si="0"/>
        <v>2.8125462324296758E-4</v>
      </c>
      <c r="K41" s="35">
        <f t="shared" si="1"/>
        <v>2.0428957414759754</v>
      </c>
      <c r="L41" s="30"/>
    </row>
    <row r="42" spans="2:12" ht="14.1" customHeight="1" outlineLevel="1" x14ac:dyDescent="0.2">
      <c r="B42" s="82" t="s">
        <v>71</v>
      </c>
      <c r="C42" s="58">
        <f>2275610080.57</f>
        <v>2275610080.5700002</v>
      </c>
      <c r="D42" s="58">
        <f>472460594.78</f>
        <v>472460594.77999997</v>
      </c>
      <c r="E42" s="60" t="s">
        <v>58</v>
      </c>
      <c r="F42" s="60" t="s">
        <v>58</v>
      </c>
      <c r="G42" s="60" t="s">
        <v>58</v>
      </c>
      <c r="H42" s="60" t="s">
        <v>58</v>
      </c>
      <c r="I42" s="60" t="s">
        <v>58</v>
      </c>
      <c r="J42" s="59">
        <f t="shared" si="0"/>
        <v>0.51921640986209716</v>
      </c>
      <c r="K42" s="59">
        <f t="shared" si="1"/>
        <v>20.761931001011252</v>
      </c>
      <c r="L42" s="30"/>
    </row>
    <row r="43" spans="2:12" ht="12.95" customHeight="1" outlineLevel="1" x14ac:dyDescent="0.2">
      <c r="B43" s="88" t="s">
        <v>72</v>
      </c>
      <c r="C43" s="23">
        <f>1651189245.76</f>
        <v>1651189245.76</v>
      </c>
      <c r="D43" s="23">
        <f>295414367.41</f>
        <v>295414367.41000003</v>
      </c>
      <c r="E43" s="23" t="s">
        <v>58</v>
      </c>
      <c r="F43" s="23" t="s">
        <v>58</v>
      </c>
      <c r="G43" s="23" t="s">
        <v>58</v>
      </c>
      <c r="H43" s="23" t="s">
        <v>58</v>
      </c>
      <c r="I43" s="23" t="s">
        <v>58</v>
      </c>
      <c r="J43" s="35">
        <f t="shared" si="0"/>
        <v>0.32464927014648826</v>
      </c>
      <c r="K43" s="35">
        <f t="shared" si="1"/>
        <v>17.891006022996983</v>
      </c>
      <c r="L43" s="30"/>
    </row>
    <row r="44" spans="2:12" ht="14.1" customHeight="1" outlineLevel="1" x14ac:dyDescent="0.2">
      <c r="B44" s="82" t="s">
        <v>84</v>
      </c>
      <c r="C44" s="58">
        <f>16753160550.93</f>
        <v>16753160550.93</v>
      </c>
      <c r="D44" s="58">
        <f>2389432403.93</f>
        <v>2389432403.9299998</v>
      </c>
      <c r="E44" s="60" t="s">
        <v>58</v>
      </c>
      <c r="F44" s="60" t="s">
        <v>58</v>
      </c>
      <c r="G44" s="60" t="s">
        <v>58</v>
      </c>
      <c r="H44" s="60" t="s">
        <v>58</v>
      </c>
      <c r="I44" s="60" t="s">
        <v>58</v>
      </c>
      <c r="J44" s="59">
        <f t="shared" si="0"/>
        <v>2.6258962717396401</v>
      </c>
      <c r="K44" s="59">
        <f t="shared" si="1"/>
        <v>14.262576883126435</v>
      </c>
      <c r="L44" s="30"/>
    </row>
    <row r="45" spans="2:12" ht="12.95" customHeight="1" outlineLevel="1" x14ac:dyDescent="0.2">
      <c r="B45" s="88" t="s">
        <v>85</v>
      </c>
      <c r="C45" s="23">
        <f>13781732748.77</f>
        <v>13781732748.77</v>
      </c>
      <c r="D45" s="23">
        <f>1538739673.81</f>
        <v>1538739673.8099999</v>
      </c>
      <c r="E45" s="23" t="s">
        <v>58</v>
      </c>
      <c r="F45" s="23" t="s">
        <v>58</v>
      </c>
      <c r="G45" s="23" t="s">
        <v>58</v>
      </c>
      <c r="H45" s="23" t="s">
        <v>58</v>
      </c>
      <c r="I45" s="23" t="s">
        <v>58</v>
      </c>
      <c r="J45" s="35">
        <f t="shared" si="0"/>
        <v>1.6910169821041401</v>
      </c>
      <c r="K45" s="35">
        <f t="shared" si="1"/>
        <v>11.165066845076721</v>
      </c>
      <c r="L45" s="30"/>
    </row>
    <row r="46" spans="2:12" ht="27.95" customHeight="1" x14ac:dyDescent="0.2">
      <c r="B46" s="77" t="s">
        <v>61</v>
      </c>
      <c r="C46" s="58">
        <f>C47+C48+C49+C50+C51+C52</f>
        <v>84194783783.059998</v>
      </c>
      <c r="D46" s="58">
        <f>D47+D48+D49+D50+D51+D52</f>
        <v>29581495967</v>
      </c>
      <c r="E46" s="60" t="s">
        <v>58</v>
      </c>
      <c r="F46" s="60" t="s">
        <v>58</v>
      </c>
      <c r="G46" s="60" t="s">
        <v>58</v>
      </c>
      <c r="H46" s="60" t="s">
        <v>58</v>
      </c>
      <c r="I46" s="60" t="s">
        <v>58</v>
      </c>
      <c r="J46" s="59">
        <f t="shared" si="0"/>
        <v>32.508950596160965</v>
      </c>
      <c r="K46" s="59">
        <f t="shared" si="1"/>
        <v>35.134594612441774</v>
      </c>
      <c r="L46" s="30"/>
    </row>
    <row r="47" spans="2:12" ht="15" customHeight="1" outlineLevel="1" x14ac:dyDescent="0.2">
      <c r="B47" s="31" t="s">
        <v>47</v>
      </c>
      <c r="C47" s="23">
        <f>16520360682</f>
        <v>16520360682</v>
      </c>
      <c r="D47" s="23">
        <f>4130196123</f>
        <v>4130196123</v>
      </c>
      <c r="E47" s="23" t="s">
        <v>58</v>
      </c>
      <c r="F47" s="23" t="s">
        <v>58</v>
      </c>
      <c r="G47" s="23" t="s">
        <v>58</v>
      </c>
      <c r="H47" s="23" t="s">
        <v>58</v>
      </c>
      <c r="I47" s="23" t="s">
        <v>58</v>
      </c>
      <c r="J47" s="35">
        <f t="shared" si="0"/>
        <v>4.5389300752351147</v>
      </c>
      <c r="K47" s="35">
        <f t="shared" si="1"/>
        <v>25.000641344956321</v>
      </c>
      <c r="L47" s="30"/>
    </row>
    <row r="48" spans="2:12" ht="15" customHeight="1" outlineLevel="1" x14ac:dyDescent="0.2">
      <c r="B48" s="31" t="s">
        <v>46</v>
      </c>
      <c r="C48" s="23">
        <f>64090729538.06</f>
        <v>64090729538.059998</v>
      </c>
      <c r="D48" s="23">
        <f>24657904025</f>
        <v>24657904025</v>
      </c>
      <c r="E48" s="23" t="s">
        <v>58</v>
      </c>
      <c r="F48" s="23" t="s">
        <v>58</v>
      </c>
      <c r="G48" s="23" t="s">
        <v>58</v>
      </c>
      <c r="H48" s="23" t="s">
        <v>58</v>
      </c>
      <c r="I48" s="23" t="s">
        <v>58</v>
      </c>
      <c r="J48" s="35">
        <f t="shared" si="0"/>
        <v>27.098108379908886</v>
      </c>
      <c r="K48" s="35">
        <f t="shared" si="1"/>
        <v>38.473433213702165</v>
      </c>
      <c r="L48" s="30"/>
    </row>
    <row r="49" spans="1:26" ht="15" customHeight="1" outlineLevel="1" x14ac:dyDescent="0.2">
      <c r="B49" s="31" t="s">
        <v>45</v>
      </c>
      <c r="C49" s="23">
        <f>3430257</f>
        <v>3430257</v>
      </c>
      <c r="D49" s="23">
        <f>0</f>
        <v>0</v>
      </c>
      <c r="E49" s="23" t="s">
        <v>58</v>
      </c>
      <c r="F49" s="23" t="s">
        <v>58</v>
      </c>
      <c r="G49" s="23" t="s">
        <v>58</v>
      </c>
      <c r="H49" s="23" t="s">
        <v>58</v>
      </c>
      <c r="I49" s="23" t="s">
        <v>58</v>
      </c>
      <c r="J49" s="35">
        <f t="shared" si="0"/>
        <v>0</v>
      </c>
      <c r="K49" s="35">
        <f t="shared" si="1"/>
        <v>0</v>
      </c>
      <c r="L49" s="30"/>
    </row>
    <row r="50" spans="1:26" ht="15" customHeight="1" outlineLevel="1" x14ac:dyDescent="0.2">
      <c r="B50" s="31" t="s">
        <v>44</v>
      </c>
      <c r="C50" s="23">
        <f>2047676425</f>
        <v>2047676425</v>
      </c>
      <c r="D50" s="23">
        <f>500914699</f>
        <v>500914699</v>
      </c>
      <c r="E50" s="23" t="s">
        <v>58</v>
      </c>
      <c r="F50" s="23" t="s">
        <v>58</v>
      </c>
      <c r="G50" s="23" t="s">
        <v>58</v>
      </c>
      <c r="H50" s="23" t="s">
        <v>58</v>
      </c>
      <c r="I50" s="23" t="s">
        <v>58</v>
      </c>
      <c r="J50" s="35">
        <f t="shared" si="0"/>
        <v>0.55048639936424759</v>
      </c>
      <c r="K50" s="35">
        <f t="shared" si="1"/>
        <v>24.462590518909746</v>
      </c>
      <c r="L50" s="30"/>
    </row>
    <row r="51" spans="1:26" ht="15" customHeight="1" outlineLevel="1" x14ac:dyDescent="0.2">
      <c r="B51" s="31" t="s">
        <v>57</v>
      </c>
      <c r="C51" s="23">
        <f>1169058479</f>
        <v>1169058479</v>
      </c>
      <c r="D51" s="23">
        <f>292264620</f>
        <v>292264620</v>
      </c>
      <c r="E51" s="23" t="s">
        <v>58</v>
      </c>
      <c r="F51" s="23" t="s">
        <v>58</v>
      </c>
      <c r="G51" s="23" t="s">
        <v>58</v>
      </c>
      <c r="H51" s="23" t="s">
        <v>58</v>
      </c>
      <c r="I51" s="23" t="s">
        <v>58</v>
      </c>
      <c r="J51" s="35">
        <f t="shared" si="0"/>
        <v>0.32118781630195298</v>
      </c>
      <c r="K51" s="35">
        <f t="shared" si="1"/>
        <v>25.000000021384729</v>
      </c>
      <c r="L51" s="30"/>
    </row>
    <row r="52" spans="1:26" ht="15" customHeight="1" outlineLevel="1" x14ac:dyDescent="0.2">
      <c r="B52" s="31" t="s">
        <v>42</v>
      </c>
      <c r="C52" s="23">
        <f>363528402</f>
        <v>363528402</v>
      </c>
      <c r="D52" s="23">
        <f>216500</f>
        <v>216500</v>
      </c>
      <c r="E52" s="23" t="s">
        <v>58</v>
      </c>
      <c r="F52" s="23" t="s">
        <v>58</v>
      </c>
      <c r="G52" s="23" t="s">
        <v>58</v>
      </c>
      <c r="H52" s="23" t="s">
        <v>58</v>
      </c>
      <c r="I52" s="23" t="s">
        <v>58</v>
      </c>
      <c r="J52" s="35">
        <f t="shared" si="0"/>
        <v>2.3792535076388245E-4</v>
      </c>
      <c r="K52" s="35">
        <f t="shared" si="1"/>
        <v>5.955518160586528E-2</v>
      </c>
      <c r="L52" s="30"/>
    </row>
    <row r="53" spans="1:26" s="6" customFormat="1" ht="13.5" customHeight="1" x14ac:dyDescent="0.2">
      <c r="A53" s="3"/>
      <c r="B53" s="21"/>
      <c r="C53" s="8"/>
      <c r="D53" s="9"/>
      <c r="E53" s="16"/>
      <c r="F53" s="16"/>
      <c r="G53" s="16"/>
      <c r="H53" s="16"/>
      <c r="I53" s="16"/>
      <c r="J53" s="10"/>
      <c r="K53" s="10"/>
      <c r="L53" s="4"/>
    </row>
    <row r="54" spans="1:26" s="6" customFormat="1" ht="18.75" customHeight="1" x14ac:dyDescent="0.2">
      <c r="A54" s="3"/>
      <c r="B54" s="62" t="s">
        <v>5</v>
      </c>
      <c r="C54" s="63">
        <f t="shared" ref="C54:I54" si="4">+C6</f>
        <v>346057722488.10999</v>
      </c>
      <c r="D54" s="63">
        <f t="shared" si="4"/>
        <v>90994927318.550003</v>
      </c>
      <c r="E54" s="63">
        <f t="shared" si="4"/>
        <v>1246864880.24</v>
      </c>
      <c r="F54" s="63">
        <f t="shared" si="4"/>
        <v>244886022.34</v>
      </c>
      <c r="G54" s="63">
        <f t="shared" si="4"/>
        <v>33954079.57</v>
      </c>
      <c r="H54" s="63">
        <f t="shared" si="4"/>
        <v>94562640.340000004</v>
      </c>
      <c r="I54" s="63">
        <f t="shared" si="4"/>
        <v>370638.03</v>
      </c>
      <c r="J54" s="64">
        <f>IF($D$54=0,"",100*$D54/$D$54)</f>
        <v>100</v>
      </c>
      <c r="K54" s="64">
        <f>IF(C54=0,"",100*D54/C54)</f>
        <v>26.294725245345866</v>
      </c>
      <c r="L54" s="4"/>
    </row>
    <row r="55" spans="1:26" s="6" customFormat="1" ht="20.100000000000001" customHeight="1" x14ac:dyDescent="0.2">
      <c r="A55" s="3"/>
      <c r="B55" s="55" t="s">
        <v>74</v>
      </c>
      <c r="C55" s="56">
        <f>65572143420.53</f>
        <v>65572143420.529999</v>
      </c>
      <c r="D55" s="56">
        <f>5562913540.6</f>
        <v>5562913540.6000004</v>
      </c>
      <c r="E55" s="56">
        <f>0</f>
        <v>0</v>
      </c>
      <c r="F55" s="56">
        <f>0</f>
        <v>0</v>
      </c>
      <c r="G55" s="56">
        <f>0</f>
        <v>0</v>
      </c>
      <c r="H55" s="56">
        <f>0</f>
        <v>0</v>
      </c>
      <c r="I55" s="56">
        <f>0</f>
        <v>0</v>
      </c>
      <c r="J55" s="36">
        <f>IF($D$54=0,"",100*$D55/$D$54)</f>
        <v>6.1134325885284353</v>
      </c>
      <c r="K55" s="36">
        <f>IF(C55=0,"",100*D55/C55)</f>
        <v>8.4836536529295543</v>
      </c>
      <c r="L55" s="4"/>
    </row>
    <row r="56" spans="1:26" s="6" customFormat="1" ht="20.100000000000001" customHeight="1" x14ac:dyDescent="0.2">
      <c r="A56" s="3"/>
      <c r="B56" s="55" t="s">
        <v>75</v>
      </c>
      <c r="C56" s="56">
        <f>+C54-C55</f>
        <v>280485579067.57996</v>
      </c>
      <c r="D56" s="56">
        <f t="shared" ref="D56:I56" si="5">+D54-D55</f>
        <v>85432013777.949997</v>
      </c>
      <c r="E56" s="56">
        <f t="shared" si="5"/>
        <v>1246864880.24</v>
      </c>
      <c r="F56" s="56">
        <f t="shared" si="5"/>
        <v>244886022.34</v>
      </c>
      <c r="G56" s="56">
        <f t="shared" si="5"/>
        <v>33954079.57</v>
      </c>
      <c r="H56" s="56">
        <f t="shared" si="5"/>
        <v>94562640.340000004</v>
      </c>
      <c r="I56" s="56">
        <f t="shared" si="5"/>
        <v>370638.03</v>
      </c>
      <c r="J56" s="36">
        <f>IF($D$54=0,"",100*$D56/$D$54)</f>
        <v>93.88656741147156</v>
      </c>
      <c r="K56" s="36">
        <f>IF(C56=0,"",100*D56/C56)</f>
        <v>30.458611833789174</v>
      </c>
      <c r="L56" s="4"/>
    </row>
    <row r="57" spans="1:26" s="6" customFormat="1" ht="13.5" customHeight="1" x14ac:dyDescent="0.2">
      <c r="A57" s="3"/>
      <c r="B57" s="92" t="s">
        <v>106</v>
      </c>
      <c r="C57" s="92"/>
      <c r="D57" s="92"/>
      <c r="E57" s="92"/>
      <c r="F57" s="92"/>
      <c r="G57" s="16"/>
      <c r="H57" s="16"/>
      <c r="I57" s="16"/>
      <c r="J57" s="16"/>
      <c r="K57" s="10"/>
      <c r="L57" s="10"/>
      <c r="M57" s="4"/>
    </row>
    <row r="58" spans="1:26" ht="27" customHeight="1" x14ac:dyDescent="0.2">
      <c r="B58" s="87" t="str">
        <f>CONCATENATE("Informacja z wykonania budżetów jednostek samorządu terytorialnego za ",$D$117," ",$C$118," roku")</f>
        <v>Informacja z wykonania budżetów jednostek samorządu terytorialnego za I Kwartał 2023 roku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26" s="6" customFormat="1" ht="9.75" customHeight="1" x14ac:dyDescent="0.2">
      <c r="B59" s="7"/>
      <c r="C59" s="8"/>
      <c r="D59" s="9"/>
      <c r="E59" s="9"/>
      <c r="F59" s="5"/>
      <c r="G59" s="5"/>
      <c r="H59" s="5"/>
      <c r="I59" s="5"/>
      <c r="J59" s="5"/>
      <c r="K59" s="10"/>
      <c r="L59" s="10"/>
      <c r="M59" s="4"/>
    </row>
    <row r="60" spans="1:26" ht="29.25" customHeight="1" x14ac:dyDescent="0.2">
      <c r="B60" s="119" t="s">
        <v>0</v>
      </c>
      <c r="C60" s="107" t="s">
        <v>53</v>
      </c>
      <c r="D60" s="107" t="s">
        <v>55</v>
      </c>
      <c r="E60" s="107" t="s">
        <v>54</v>
      </c>
      <c r="F60" s="107" t="s">
        <v>12</v>
      </c>
      <c r="G60" s="107"/>
      <c r="H60" s="107"/>
      <c r="I60" s="104" t="s">
        <v>86</v>
      </c>
      <c r="J60" s="104" t="s">
        <v>2</v>
      </c>
      <c r="K60" s="101" t="s">
        <v>18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8" customHeight="1" x14ac:dyDescent="0.2">
      <c r="B61" s="119"/>
      <c r="C61" s="107"/>
      <c r="D61" s="107"/>
      <c r="E61" s="107"/>
      <c r="F61" s="96" t="s">
        <v>56</v>
      </c>
      <c r="G61" s="108" t="s">
        <v>33</v>
      </c>
      <c r="H61" s="109"/>
      <c r="I61" s="105"/>
      <c r="J61" s="105"/>
      <c r="K61" s="102"/>
      <c r="L61" s="12"/>
      <c r="M61" s="13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66.75" customHeight="1" x14ac:dyDescent="0.2">
      <c r="B62" s="119"/>
      <c r="C62" s="107"/>
      <c r="D62" s="107"/>
      <c r="E62" s="107"/>
      <c r="F62" s="109"/>
      <c r="G62" s="18" t="s">
        <v>51</v>
      </c>
      <c r="H62" s="18" t="s">
        <v>52</v>
      </c>
      <c r="I62" s="106"/>
      <c r="J62" s="106"/>
      <c r="K62" s="103"/>
      <c r="L62" s="12"/>
      <c r="M62" s="11"/>
      <c r="N62" s="2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3.5" customHeight="1" x14ac:dyDescent="0.2">
      <c r="B63" s="119"/>
      <c r="C63" s="120" t="s">
        <v>78</v>
      </c>
      <c r="D63" s="121"/>
      <c r="E63" s="121"/>
      <c r="F63" s="121"/>
      <c r="G63" s="121"/>
      <c r="H63" s="122"/>
      <c r="I63" s="72"/>
      <c r="J63" s="100" t="s">
        <v>4</v>
      </c>
      <c r="K63" s="100"/>
      <c r="N63" s="2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1.25" customHeight="1" x14ac:dyDescent="0.2">
      <c r="B64" s="17">
        <v>1</v>
      </c>
      <c r="C64" s="19">
        <v>2</v>
      </c>
      <c r="D64" s="19">
        <v>3</v>
      </c>
      <c r="E64" s="19">
        <v>4</v>
      </c>
      <c r="F64" s="17">
        <v>5</v>
      </c>
      <c r="G64" s="17">
        <v>6</v>
      </c>
      <c r="H64" s="19">
        <v>7</v>
      </c>
      <c r="I64" s="19">
        <v>8</v>
      </c>
      <c r="J64" s="17">
        <v>9</v>
      </c>
      <c r="K64" s="19">
        <v>10</v>
      </c>
      <c r="M64" s="11"/>
      <c r="N64" s="2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2:13" ht="27" customHeight="1" x14ac:dyDescent="0.2">
      <c r="B65" s="57" t="s">
        <v>62</v>
      </c>
      <c r="C65" s="63">
        <f>396903614000.36</f>
        <v>396903614000.35999</v>
      </c>
      <c r="D65" s="63">
        <f>79111902829.6199</f>
        <v>79111902829.619904</v>
      </c>
      <c r="E65" s="63">
        <f>248114542087.39</f>
        <v>248114542087.39001</v>
      </c>
      <c r="F65" s="63">
        <f>9286921424.37</f>
        <v>9286921424.3700008</v>
      </c>
      <c r="G65" s="63">
        <f>18735881.7</f>
        <v>18735881.699999999</v>
      </c>
      <c r="H65" s="63">
        <f>14029257.44</f>
        <v>14029257.439999999</v>
      </c>
      <c r="I65" s="69">
        <f>0</f>
        <v>0</v>
      </c>
      <c r="J65" s="50">
        <f>IF($D$65=0,"",100*$D65/$D$65)</f>
        <v>100</v>
      </c>
      <c r="K65" s="50">
        <f>IF(C65=0,"",100*D65/C65)</f>
        <v>19.932270717380806</v>
      </c>
    </row>
    <row r="66" spans="2:13" ht="16.5" customHeight="1" x14ac:dyDescent="0.2">
      <c r="B66" s="76" t="s">
        <v>14</v>
      </c>
      <c r="C66" s="27">
        <f>115395860433.88</f>
        <v>115395860433.88</v>
      </c>
      <c r="D66" s="27">
        <f>8501616469.80001</f>
        <v>8501616469.8000097</v>
      </c>
      <c r="E66" s="27">
        <f>52486995942.1</f>
        <v>52486995942.099998</v>
      </c>
      <c r="F66" s="27">
        <f>1767555718.6</f>
        <v>1767555718.5999999</v>
      </c>
      <c r="G66" s="27">
        <f>3517982.16</f>
        <v>3517982.16</v>
      </c>
      <c r="H66" s="27">
        <f>2826201.09</f>
        <v>2826201.09</v>
      </c>
      <c r="I66" s="70">
        <f>0</f>
        <v>0</v>
      </c>
      <c r="J66" s="50">
        <f t="shared" ref="J66:J74" si="6">IF($D$65=0,"",100*$D66/$D$65)</f>
        <v>10.746317767263918</v>
      </c>
      <c r="K66" s="50">
        <f t="shared" ref="K66:K74" si="7">IF(C66=0,"",100*D66/C66)</f>
        <v>7.3673496066796096</v>
      </c>
    </row>
    <row r="67" spans="2:13" ht="18" customHeight="1" outlineLevel="1" x14ac:dyDescent="0.2">
      <c r="B67" s="31" t="s">
        <v>13</v>
      </c>
      <c r="C67" s="23">
        <f>111870467672.58</f>
        <v>111870467672.58</v>
      </c>
      <c r="D67" s="23">
        <f>7837758811.19001</f>
        <v>7837758811.1900101</v>
      </c>
      <c r="E67" s="23">
        <f>51278693713.7</f>
        <v>51278693713.699997</v>
      </c>
      <c r="F67" s="23">
        <f>1716512919.35</f>
        <v>1716512919.3499999</v>
      </c>
      <c r="G67" s="23">
        <f>3517982.16</f>
        <v>3517982.16</v>
      </c>
      <c r="H67" s="23">
        <f>2826201.09</f>
        <v>2826201.09</v>
      </c>
      <c r="I67" s="71">
        <f>0</f>
        <v>0</v>
      </c>
      <c r="J67" s="50">
        <f t="shared" si="6"/>
        <v>9.9071802482995164</v>
      </c>
      <c r="K67" s="50">
        <f t="shared" si="7"/>
        <v>7.0061017659543428</v>
      </c>
    </row>
    <row r="68" spans="2:13" ht="27" customHeight="1" x14ac:dyDescent="0.2">
      <c r="B68" s="77" t="s">
        <v>63</v>
      </c>
      <c r="C68" s="63">
        <f t="shared" ref="C68:I68" si="8">C65-C66</f>
        <v>281507753566.47998</v>
      </c>
      <c r="D68" s="63">
        <f t="shared" si="8"/>
        <v>70610286359.819901</v>
      </c>
      <c r="E68" s="63">
        <f t="shared" si="8"/>
        <v>195627546145.29001</v>
      </c>
      <c r="F68" s="63">
        <f t="shared" si="8"/>
        <v>7519365705.7700005</v>
      </c>
      <c r="G68" s="63">
        <f t="shared" si="8"/>
        <v>15217899.539999999</v>
      </c>
      <c r="H68" s="63">
        <f t="shared" si="8"/>
        <v>11203056.35</v>
      </c>
      <c r="I68" s="69">
        <f t="shared" si="8"/>
        <v>0</v>
      </c>
      <c r="J68" s="50">
        <f t="shared" si="6"/>
        <v>89.253682232736097</v>
      </c>
      <c r="K68" s="50">
        <f t="shared" si="7"/>
        <v>25.08289219932438</v>
      </c>
    </row>
    <row r="69" spans="2:13" ht="23.1" customHeight="1" outlineLevel="1" x14ac:dyDescent="0.2">
      <c r="B69" s="31" t="s">
        <v>101</v>
      </c>
      <c r="C69" s="23">
        <f>123142943469.44</f>
        <v>123142943469.44</v>
      </c>
      <c r="D69" s="23">
        <f>34600076918.39</f>
        <v>34600076918.389999</v>
      </c>
      <c r="E69" s="23">
        <f>103513076277.88</f>
        <v>103513076277.88</v>
      </c>
      <c r="F69" s="23">
        <f>3376739157.7</f>
        <v>3376739157.6999998</v>
      </c>
      <c r="G69" s="23">
        <f>900159.22</f>
        <v>900159.22</v>
      </c>
      <c r="H69" s="23">
        <f>134521.04</f>
        <v>134521.04</v>
      </c>
      <c r="I69" s="71">
        <f>0</f>
        <v>0</v>
      </c>
      <c r="J69" s="50">
        <f t="shared" si="6"/>
        <v>43.735614592543406</v>
      </c>
      <c r="K69" s="50">
        <f t="shared" si="7"/>
        <v>28.097490561427577</v>
      </c>
    </row>
    <row r="70" spans="2:13" ht="18" customHeight="1" outlineLevel="1" x14ac:dyDescent="0.2">
      <c r="B70" s="31" t="s">
        <v>50</v>
      </c>
      <c r="C70" s="23">
        <f>33943969623.99</f>
        <v>33943969623.990002</v>
      </c>
      <c r="D70" s="23">
        <f>9019892841.69</f>
        <v>9019892841.6900005</v>
      </c>
      <c r="E70" s="23">
        <f>21974605031.04</f>
        <v>21974605031.040001</v>
      </c>
      <c r="F70" s="23">
        <f>277873115.77</f>
        <v>277873115.76999998</v>
      </c>
      <c r="G70" s="23">
        <f>0</f>
        <v>0</v>
      </c>
      <c r="H70" s="23">
        <f>189669.11</f>
        <v>189669.11</v>
      </c>
      <c r="I70" s="71">
        <f>0</f>
        <v>0</v>
      </c>
      <c r="J70" s="50">
        <f t="shared" si="6"/>
        <v>11.401435838442387</v>
      </c>
      <c r="K70" s="50">
        <f t="shared" si="7"/>
        <v>26.572887442472737</v>
      </c>
    </row>
    <row r="71" spans="2:13" ht="18" customHeight="1" outlineLevel="1" x14ac:dyDescent="0.2">
      <c r="B71" s="31" t="s">
        <v>49</v>
      </c>
      <c r="C71" s="23">
        <f>6328475569.81</f>
        <v>6328475569.8100004</v>
      </c>
      <c r="D71" s="23">
        <f>1028902308.86</f>
        <v>1028902308.86</v>
      </c>
      <c r="E71" s="23">
        <f>3068084027.92</f>
        <v>3068084027.9200001</v>
      </c>
      <c r="F71" s="23">
        <f>292454457.06</f>
        <v>292454457.06</v>
      </c>
      <c r="G71" s="23">
        <f>0</f>
        <v>0</v>
      </c>
      <c r="H71" s="23">
        <f>373036.16</f>
        <v>373036.16</v>
      </c>
      <c r="I71" s="71">
        <f>0</f>
        <v>0</v>
      </c>
      <c r="J71" s="50">
        <f t="shared" si="6"/>
        <v>1.3005657455565254</v>
      </c>
      <c r="K71" s="50">
        <f t="shared" si="7"/>
        <v>16.258296291264511</v>
      </c>
    </row>
    <row r="72" spans="2:13" ht="23.1" customHeight="1" outlineLevel="1" x14ac:dyDescent="0.2">
      <c r="B72" s="31" t="s">
        <v>69</v>
      </c>
      <c r="C72" s="23">
        <f>460194527.19</f>
        <v>460194527.19</v>
      </c>
      <c r="D72" s="23">
        <f>6825041.9</f>
        <v>6825041.9000000004</v>
      </c>
      <c r="E72" s="23">
        <f>47836720.71</f>
        <v>47836720.710000001</v>
      </c>
      <c r="F72" s="23">
        <f>0</f>
        <v>0</v>
      </c>
      <c r="G72" s="23">
        <f>0</f>
        <v>0</v>
      </c>
      <c r="H72" s="23">
        <f>0</f>
        <v>0</v>
      </c>
      <c r="I72" s="71">
        <f>0</f>
        <v>0</v>
      </c>
      <c r="J72" s="50">
        <f t="shared" si="6"/>
        <v>8.627073368085731E-3</v>
      </c>
      <c r="K72" s="50">
        <f t="shared" si="7"/>
        <v>1.4830775893130412</v>
      </c>
    </row>
    <row r="73" spans="2:13" ht="23.1" customHeight="1" outlineLevel="1" x14ac:dyDescent="0.2">
      <c r="B73" s="31" t="s">
        <v>70</v>
      </c>
      <c r="C73" s="23">
        <f>21548590940.19</f>
        <v>21548590940.189999</v>
      </c>
      <c r="D73" s="23">
        <f>5899700590.23</f>
        <v>5899700590.2299995</v>
      </c>
      <c r="E73" s="23">
        <f>13208876981.58</f>
        <v>13208876981.58</v>
      </c>
      <c r="F73" s="23">
        <f>273515100.33</f>
        <v>273515100.32999998</v>
      </c>
      <c r="G73" s="23">
        <f>70336.72</f>
        <v>70336.72</v>
      </c>
      <c r="H73" s="23">
        <f>138602.43</f>
        <v>138602.43</v>
      </c>
      <c r="I73" s="71">
        <f>0</f>
        <v>0</v>
      </c>
      <c r="J73" s="50">
        <f t="shared" si="6"/>
        <v>7.4574120697563622</v>
      </c>
      <c r="K73" s="50">
        <f t="shared" si="7"/>
        <v>27.378591048505843</v>
      </c>
    </row>
    <row r="74" spans="2:13" ht="18" customHeight="1" outlineLevel="1" x14ac:dyDescent="0.2">
      <c r="B74" s="31" t="s">
        <v>48</v>
      </c>
      <c r="C74" s="23">
        <f t="shared" ref="C74:I74" si="9">C68-C69-C70-C71-C72-C73</f>
        <v>96083579435.85997</v>
      </c>
      <c r="D74" s="23">
        <f t="shared" si="9"/>
        <v>20054888658.749897</v>
      </c>
      <c r="E74" s="23">
        <f t="shared" si="9"/>
        <v>53815067106.159996</v>
      </c>
      <c r="F74" s="23">
        <f t="shared" si="9"/>
        <v>3298783874.9100008</v>
      </c>
      <c r="G74" s="23">
        <f t="shared" si="9"/>
        <v>14247403.599999998</v>
      </c>
      <c r="H74" s="23">
        <f t="shared" si="9"/>
        <v>10367227.610000001</v>
      </c>
      <c r="I74" s="71">
        <f t="shared" si="9"/>
        <v>0</v>
      </c>
      <c r="J74" s="50">
        <f t="shared" si="6"/>
        <v>25.350026913069325</v>
      </c>
      <c r="K74" s="50">
        <f t="shared" si="7"/>
        <v>20.872337163643472</v>
      </c>
    </row>
    <row r="75" spans="2:13" ht="18.75" customHeight="1" x14ac:dyDescent="0.2">
      <c r="B75" s="20" t="s">
        <v>15</v>
      </c>
      <c r="C75" s="27">
        <f>C6-C65</f>
        <v>-50845891512.25</v>
      </c>
      <c r="D75" s="27">
        <f>D6-D65</f>
        <v>11883024488.930099</v>
      </c>
      <c r="E75" s="29"/>
      <c r="F75" s="29"/>
      <c r="G75" s="14"/>
    </row>
    <row r="76" spans="2:13" ht="38.25" x14ac:dyDescent="0.2">
      <c r="B76" s="51" t="s">
        <v>104</v>
      </c>
      <c r="C76" s="52">
        <f>+C56-C68</f>
        <v>-1022174498.9000244</v>
      </c>
      <c r="D76" s="52">
        <f>+D56-D68</f>
        <v>14821727418.130096</v>
      </c>
      <c r="E76" s="29"/>
      <c r="F76" s="29"/>
      <c r="G76" s="14"/>
    </row>
    <row r="77" spans="2:13" ht="12" customHeight="1" x14ac:dyDescent="0.2">
      <c r="B77" s="53"/>
      <c r="C77" s="54"/>
      <c r="D77" s="54"/>
      <c r="E77" s="54"/>
      <c r="F77" s="2"/>
      <c r="G77" s="2"/>
      <c r="H77" s="2"/>
      <c r="I77" s="2"/>
      <c r="L77" s="11"/>
      <c r="M77" s="11"/>
    </row>
    <row r="78" spans="2:13" ht="12" customHeight="1" x14ac:dyDescent="0.2">
      <c r="B78" s="90" t="s">
        <v>107</v>
      </c>
      <c r="C78" s="54"/>
      <c r="D78" s="54"/>
      <c r="E78" s="54"/>
      <c r="F78" s="2"/>
      <c r="G78" s="2"/>
      <c r="H78" s="2"/>
      <c r="I78" s="2"/>
      <c r="L78" s="11"/>
      <c r="M78" s="11"/>
    </row>
    <row r="79" spans="2:13" ht="27.95" customHeight="1" x14ac:dyDescent="0.2">
      <c r="B79" s="91" t="s">
        <v>73</v>
      </c>
      <c r="C79" s="63">
        <f>26884163644.6201</f>
        <v>26884163644.620098</v>
      </c>
      <c r="D79" s="63">
        <f>3011338161.60001</f>
        <v>3011338161.6000099</v>
      </c>
      <c r="E79" s="63">
        <f>14709907922.37</f>
        <v>14709907922.370001</v>
      </c>
      <c r="F79" s="63">
        <f>468303880.15</f>
        <v>468303880.14999998</v>
      </c>
      <c r="G79" s="63">
        <f>3233.33</f>
        <v>3233.33</v>
      </c>
      <c r="H79" s="63">
        <f>47639.47</f>
        <v>47639.47</v>
      </c>
      <c r="I79" s="69">
        <f>0</f>
        <v>0</v>
      </c>
      <c r="J79" s="50">
        <f>IF($D$79=0,"",100*$D79/$D$79)</f>
        <v>100</v>
      </c>
      <c r="K79" s="50">
        <f>IF(C79=0,"",100*D79/C79)</f>
        <v>11.201159914835666</v>
      </c>
      <c r="L79" s="11"/>
    </row>
    <row r="80" spans="2:13" ht="20.100000000000001" customHeight="1" x14ac:dyDescent="0.2">
      <c r="B80" s="55" t="s">
        <v>76</v>
      </c>
      <c r="C80" s="65">
        <f>21967011208.46</f>
        <v>21967011208.459999</v>
      </c>
      <c r="D80" s="65">
        <f>2034714902.55</f>
        <v>2034714902.55</v>
      </c>
      <c r="E80" s="65">
        <f>12407848791.72</f>
        <v>12407848791.719999</v>
      </c>
      <c r="F80" s="65">
        <f>420638943.46</f>
        <v>420638943.45999998</v>
      </c>
      <c r="G80" s="65">
        <f>3233.33</f>
        <v>3233.33</v>
      </c>
      <c r="H80" s="65">
        <f>41759.2</f>
        <v>41759.199999999997</v>
      </c>
      <c r="I80" s="74">
        <f>0</f>
        <v>0</v>
      </c>
      <c r="J80" s="50">
        <f>IF($D$79=0,"",100*$D80/$D$79)</f>
        <v>67.568462701940391</v>
      </c>
      <c r="K80" s="50">
        <f>IF(C80=0,"",100*D80/C80)</f>
        <v>9.2625932733461021</v>
      </c>
      <c r="L80" s="11"/>
    </row>
    <row r="81" spans="2:13" ht="20.100000000000001" customHeight="1" x14ac:dyDescent="0.2">
      <c r="B81" s="55" t="s">
        <v>77</v>
      </c>
      <c r="C81" s="65">
        <f t="shared" ref="C81:I81" si="10">C79-C80</f>
        <v>4917152436.160099</v>
      </c>
      <c r="D81" s="65">
        <f t="shared" si="10"/>
        <v>976623259.05000997</v>
      </c>
      <c r="E81" s="65">
        <f t="shared" si="10"/>
        <v>2302059130.6500015</v>
      </c>
      <c r="F81" s="65">
        <f t="shared" si="10"/>
        <v>47664936.689999998</v>
      </c>
      <c r="G81" s="65">
        <f t="shared" si="10"/>
        <v>0</v>
      </c>
      <c r="H81" s="65">
        <f t="shared" si="10"/>
        <v>5880.2700000000041</v>
      </c>
      <c r="I81" s="74">
        <f t="shared" si="10"/>
        <v>0</v>
      </c>
      <c r="J81" s="50">
        <f>IF($D$79=0,"",100*$D81/$D$79)</f>
        <v>32.431537298059617</v>
      </c>
      <c r="K81" s="50">
        <f>IF(C81=0,"",100*D81/C81)</f>
        <v>19.861561579178421</v>
      </c>
    </row>
    <row r="82" spans="2:13" ht="20.25" x14ac:dyDescent="0.2">
      <c r="B82" s="87" t="str">
        <f>CONCATENATE("Informacja z wykonania budżetów jednostek samorządu terytorialnego za ",$D$117," ",$C$118," roku")</f>
        <v>Informacja z wykonania budżetów jednostek samorządu terytorialnego za I Kwartał 2023 roku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8" customHeight="1" x14ac:dyDescent="0.2">
      <c r="B83" s="41" t="s">
        <v>16</v>
      </c>
      <c r="C83" s="73" t="s">
        <v>17</v>
      </c>
      <c r="D83" s="73" t="s">
        <v>1</v>
      </c>
      <c r="E83" s="110" t="s">
        <v>58</v>
      </c>
      <c r="F83" s="111"/>
      <c r="G83" s="111"/>
      <c r="H83" s="111"/>
      <c r="I83" s="112"/>
      <c r="J83" s="19" t="s">
        <v>26</v>
      </c>
      <c r="K83" s="19" t="s">
        <v>27</v>
      </c>
    </row>
    <row r="84" spans="2:13" x14ac:dyDescent="0.2">
      <c r="B84" s="41"/>
      <c r="C84" s="96" t="s">
        <v>78</v>
      </c>
      <c r="D84" s="97"/>
      <c r="E84" s="113"/>
      <c r="F84" s="114"/>
      <c r="G84" s="114"/>
      <c r="H84" s="114"/>
      <c r="I84" s="115"/>
      <c r="J84" s="98" t="s">
        <v>4</v>
      </c>
      <c r="K84" s="99"/>
    </row>
    <row r="85" spans="2:13" x14ac:dyDescent="0.2">
      <c r="B85" s="39">
        <v>1</v>
      </c>
      <c r="C85" s="73">
        <v>2</v>
      </c>
      <c r="D85" s="73">
        <v>3</v>
      </c>
      <c r="E85" s="116"/>
      <c r="F85" s="117"/>
      <c r="G85" s="117"/>
      <c r="H85" s="117"/>
      <c r="I85" s="118"/>
      <c r="J85" s="40">
        <v>4</v>
      </c>
      <c r="K85" s="40">
        <v>5</v>
      </c>
    </row>
    <row r="86" spans="2:13" ht="25.5" x14ac:dyDescent="0.2">
      <c r="B86" s="38" t="s">
        <v>64</v>
      </c>
      <c r="C86" s="43">
        <f>60136572602.21</f>
        <v>60136572602.209999</v>
      </c>
      <c r="D86" s="43">
        <f>44108875716.95</f>
        <v>44108875716.949997</v>
      </c>
      <c r="E86" s="43" t="s">
        <v>58</v>
      </c>
      <c r="F86" s="43" t="s">
        <v>58</v>
      </c>
      <c r="G86" s="43" t="s">
        <v>58</v>
      </c>
      <c r="H86" s="43" t="s">
        <v>58</v>
      </c>
      <c r="I86" s="43" t="s">
        <v>58</v>
      </c>
      <c r="J86" s="42">
        <f>IF($D$86=0,"",100*$D86/$D$86)</f>
        <v>100</v>
      </c>
      <c r="K86" s="37">
        <f t="shared" ref="K86:K101" si="11">IF(C86=0,"",100*D86/C86)</f>
        <v>73.347837777055176</v>
      </c>
    </row>
    <row r="87" spans="2:13" ht="33.75" x14ac:dyDescent="0.2">
      <c r="B87" s="78" t="s">
        <v>108</v>
      </c>
      <c r="C87" s="44">
        <f>28912876465.17</f>
        <v>28912876465.169998</v>
      </c>
      <c r="D87" s="44">
        <f>446797719.51</f>
        <v>446797719.50999999</v>
      </c>
      <c r="E87" s="43" t="s">
        <v>58</v>
      </c>
      <c r="F87" s="43" t="s">
        <v>58</v>
      </c>
      <c r="G87" s="43" t="s">
        <v>58</v>
      </c>
      <c r="H87" s="43" t="s">
        <v>58</v>
      </c>
      <c r="I87" s="43" t="s">
        <v>58</v>
      </c>
      <c r="J87" s="48">
        <f t="shared" ref="J87:J96" si="12">IF($D$86=0,"",100*$D87/$D$86)</f>
        <v>1.0129428879056788</v>
      </c>
      <c r="K87" s="49">
        <f t="shared" si="11"/>
        <v>1.5453243472618039</v>
      </c>
    </row>
    <row r="88" spans="2:13" ht="22.5" x14ac:dyDescent="0.2">
      <c r="B88" s="79" t="s">
        <v>87</v>
      </c>
      <c r="C88" s="67">
        <f>2613881081.44</f>
        <v>2613881081.4400001</v>
      </c>
      <c r="D88" s="67">
        <f>67700000</f>
        <v>67700000</v>
      </c>
      <c r="E88" s="43" t="s">
        <v>58</v>
      </c>
      <c r="F88" s="43" t="s">
        <v>58</v>
      </c>
      <c r="G88" s="43" t="s">
        <v>58</v>
      </c>
      <c r="H88" s="43" t="s">
        <v>58</v>
      </c>
      <c r="I88" s="43" t="s">
        <v>58</v>
      </c>
      <c r="J88" s="68">
        <f t="shared" si="12"/>
        <v>0.15348384854430669</v>
      </c>
      <c r="K88" s="66">
        <f t="shared" si="11"/>
        <v>2.5900183631423559</v>
      </c>
    </row>
    <row r="89" spans="2:13" x14ac:dyDescent="0.2">
      <c r="B89" s="32" t="s">
        <v>88</v>
      </c>
      <c r="C89" s="67">
        <f>362559754.8</f>
        <v>362559754.80000001</v>
      </c>
      <c r="D89" s="67">
        <f>63432509.69</f>
        <v>63432509.689999998</v>
      </c>
      <c r="E89" s="43" t="s">
        <v>58</v>
      </c>
      <c r="F89" s="43" t="s">
        <v>58</v>
      </c>
      <c r="G89" s="43" t="s">
        <v>58</v>
      </c>
      <c r="H89" s="43" t="s">
        <v>58</v>
      </c>
      <c r="I89" s="43" t="s">
        <v>58</v>
      </c>
      <c r="J89" s="68">
        <f t="shared" si="12"/>
        <v>0.14380894697260305</v>
      </c>
      <c r="K89" s="66">
        <f t="shared" si="11"/>
        <v>17.495739350604833</v>
      </c>
    </row>
    <row r="90" spans="2:13" ht="48" customHeight="1" x14ac:dyDescent="0.2">
      <c r="B90" s="32" t="s">
        <v>97</v>
      </c>
      <c r="C90" s="67">
        <f>5646725194.7</f>
        <v>5646725194.6999998</v>
      </c>
      <c r="D90" s="67">
        <f>10265392333.55</f>
        <v>10265392333.549999</v>
      </c>
      <c r="E90" s="43" t="s">
        <v>58</v>
      </c>
      <c r="F90" s="43" t="s">
        <v>58</v>
      </c>
      <c r="G90" s="43" t="s">
        <v>58</v>
      </c>
      <c r="H90" s="43" t="s">
        <v>58</v>
      </c>
      <c r="I90" s="43" t="s">
        <v>58</v>
      </c>
      <c r="J90" s="68">
        <f t="shared" si="12"/>
        <v>23.272849662783972</v>
      </c>
      <c r="K90" s="66">
        <f t="shared" si="11"/>
        <v>181.79372963262082</v>
      </c>
    </row>
    <row r="91" spans="2:13" ht="33.75" x14ac:dyDescent="0.2">
      <c r="B91" s="32" t="s">
        <v>98</v>
      </c>
      <c r="C91" s="67">
        <f>5327886116.11</f>
        <v>5327886116.1099997</v>
      </c>
      <c r="D91" s="67">
        <f>6869219836.58</f>
        <v>6869219836.5799999</v>
      </c>
      <c r="E91" s="43" t="s">
        <v>58</v>
      </c>
      <c r="F91" s="43" t="s">
        <v>58</v>
      </c>
      <c r="G91" s="43" t="s">
        <v>58</v>
      </c>
      <c r="H91" s="43" t="s">
        <v>58</v>
      </c>
      <c r="I91" s="43" t="s">
        <v>58</v>
      </c>
      <c r="J91" s="68">
        <f t="shared" si="12"/>
        <v>15.57332787319338</v>
      </c>
      <c r="K91" s="66">
        <f t="shared" si="11"/>
        <v>128.92955455277936</v>
      </c>
    </row>
    <row r="92" spans="2:13" x14ac:dyDescent="0.2">
      <c r="B92" s="32" t="s">
        <v>89</v>
      </c>
      <c r="C92" s="67">
        <f>22960000</f>
        <v>22960000</v>
      </c>
      <c r="D92" s="67">
        <f>0</f>
        <v>0</v>
      </c>
      <c r="E92" s="43" t="s">
        <v>58</v>
      </c>
      <c r="F92" s="43" t="s">
        <v>58</v>
      </c>
      <c r="G92" s="43" t="s">
        <v>58</v>
      </c>
      <c r="H92" s="43" t="s">
        <v>58</v>
      </c>
      <c r="I92" s="43" t="s">
        <v>58</v>
      </c>
      <c r="J92" s="68">
        <f t="shared" si="12"/>
        <v>0</v>
      </c>
      <c r="K92" s="66">
        <f t="shared" si="11"/>
        <v>0</v>
      </c>
    </row>
    <row r="93" spans="2:13" ht="33.75" x14ac:dyDescent="0.2">
      <c r="B93" s="32" t="s">
        <v>90</v>
      </c>
      <c r="C93" s="67">
        <f>16309671880.88</f>
        <v>16309671880.879999</v>
      </c>
      <c r="D93" s="67">
        <f>23287800532.55</f>
        <v>23287800532.549999</v>
      </c>
      <c r="E93" s="43" t="s">
        <v>58</v>
      </c>
      <c r="F93" s="43" t="s">
        <v>58</v>
      </c>
      <c r="G93" s="43" t="s">
        <v>58</v>
      </c>
      <c r="H93" s="43" t="s">
        <v>58</v>
      </c>
      <c r="I93" s="43" t="s">
        <v>58</v>
      </c>
      <c r="J93" s="68">
        <f t="shared" si="12"/>
        <v>52.796177989186539</v>
      </c>
      <c r="K93" s="66">
        <f t="shared" si="11"/>
        <v>142.78521789178686</v>
      </c>
    </row>
    <row r="94" spans="2:13" ht="56.25" x14ac:dyDescent="0.2">
      <c r="B94" s="32" t="s">
        <v>109</v>
      </c>
      <c r="C94" s="67">
        <f>0</f>
        <v>0</v>
      </c>
      <c r="D94" s="67">
        <f>108136695.81</f>
        <v>108136695.81</v>
      </c>
      <c r="E94" s="43"/>
      <c r="F94" s="43"/>
      <c r="G94" s="43"/>
      <c r="H94" s="43"/>
      <c r="I94" s="43"/>
      <c r="J94" s="68">
        <f>IF($D$86=0,"",100*$D94/$D$86)</f>
        <v>0.24515858555072087</v>
      </c>
      <c r="K94" s="66" t="str">
        <f>IF(C94=0,"",100*D94/C94)</f>
        <v/>
      </c>
    </row>
    <row r="95" spans="2:13" x14ac:dyDescent="0.2">
      <c r="B95" s="32" t="s">
        <v>110</v>
      </c>
      <c r="C95" s="67">
        <f>3553893190.55</f>
        <v>3553893190.5500002</v>
      </c>
      <c r="D95" s="67">
        <f>3068096089.26</f>
        <v>3068096089.2600002</v>
      </c>
      <c r="E95" s="43"/>
      <c r="F95" s="43"/>
      <c r="G95" s="43"/>
      <c r="H95" s="43"/>
      <c r="I95" s="43"/>
      <c r="J95" s="48">
        <f t="shared" si="12"/>
        <v>6.9557340544071113</v>
      </c>
      <c r="K95" s="49">
        <f>IF(C95=0,"",100*D95/C95)</f>
        <v>86.330565516663199</v>
      </c>
    </row>
    <row r="96" spans="2:13" ht="22.5" x14ac:dyDescent="0.2">
      <c r="B96" s="79" t="s">
        <v>111</v>
      </c>
      <c r="C96" s="67">
        <f>3059587034.55</f>
        <v>3059587034.5500002</v>
      </c>
      <c r="D96" s="67">
        <f>3000145659.77</f>
        <v>3000145659.77</v>
      </c>
      <c r="E96" s="43" t="s">
        <v>58</v>
      </c>
      <c r="F96" s="43" t="s">
        <v>58</v>
      </c>
      <c r="G96" s="43" t="s">
        <v>58</v>
      </c>
      <c r="H96" s="43" t="s">
        <v>58</v>
      </c>
      <c r="I96" s="43" t="s">
        <v>58</v>
      </c>
      <c r="J96" s="68">
        <f t="shared" si="12"/>
        <v>6.8016824528064657</v>
      </c>
      <c r="K96" s="66">
        <f>IF(C96=0,"",100*D96/C96)</f>
        <v>98.057209221088797</v>
      </c>
    </row>
    <row r="97" spans="2:11" ht="25.5" x14ac:dyDescent="0.2">
      <c r="B97" s="38" t="s">
        <v>65</v>
      </c>
      <c r="C97" s="26">
        <f>9287549884.96</f>
        <v>9287549884.9599991</v>
      </c>
      <c r="D97" s="26">
        <f>4208672497.01</f>
        <v>4208672497.0100002</v>
      </c>
      <c r="E97" s="43" t="s">
        <v>58</v>
      </c>
      <c r="F97" s="43" t="s">
        <v>58</v>
      </c>
      <c r="G97" s="43" t="s">
        <v>58</v>
      </c>
      <c r="H97" s="43" t="s">
        <v>58</v>
      </c>
      <c r="I97" s="43" t="s">
        <v>58</v>
      </c>
      <c r="J97" s="42">
        <f t="shared" ref="J97:J102" si="13">IF($D$97=0,"",100*$D97/$D$97)</f>
        <v>100</v>
      </c>
      <c r="K97" s="37">
        <f t="shared" si="11"/>
        <v>45.315207445888475</v>
      </c>
    </row>
    <row r="98" spans="2:11" ht="22.5" x14ac:dyDescent="0.2">
      <c r="B98" s="78" t="s">
        <v>91</v>
      </c>
      <c r="C98" s="67">
        <f>8008765534.78</f>
        <v>8008765534.7799997</v>
      </c>
      <c r="D98" s="67">
        <f>1995964656.03</f>
        <v>1995964656.03</v>
      </c>
      <c r="E98" s="43" t="s">
        <v>58</v>
      </c>
      <c r="F98" s="43" t="s">
        <v>58</v>
      </c>
      <c r="G98" s="43" t="s">
        <v>58</v>
      </c>
      <c r="H98" s="43" t="s">
        <v>58</v>
      </c>
      <c r="I98" s="43" t="s">
        <v>58</v>
      </c>
      <c r="J98" s="48">
        <f t="shared" si="13"/>
        <v>47.425040970710093</v>
      </c>
      <c r="K98" s="49">
        <f t="shared" si="11"/>
        <v>24.922251093031019</v>
      </c>
    </row>
    <row r="99" spans="2:11" x14ac:dyDescent="0.2">
      <c r="B99" s="79" t="s">
        <v>92</v>
      </c>
      <c r="C99" s="67">
        <f>342044087</f>
        <v>342044087</v>
      </c>
      <c r="D99" s="67">
        <f>11729234</f>
        <v>11729234</v>
      </c>
      <c r="E99" s="43" t="s">
        <v>58</v>
      </c>
      <c r="F99" s="43" t="s">
        <v>58</v>
      </c>
      <c r="G99" s="43" t="s">
        <v>58</v>
      </c>
      <c r="H99" s="43" t="s">
        <v>58</v>
      </c>
      <c r="I99" s="43" t="s">
        <v>58</v>
      </c>
      <c r="J99" s="68">
        <f t="shared" si="13"/>
        <v>0.27869201056468257</v>
      </c>
      <c r="K99" s="66">
        <f t="shared" si="11"/>
        <v>3.4291585341745727</v>
      </c>
    </row>
    <row r="100" spans="2:11" x14ac:dyDescent="0.2">
      <c r="B100" s="32" t="s">
        <v>99</v>
      </c>
      <c r="C100" s="67">
        <f>325916985.49</f>
        <v>325916985.49000001</v>
      </c>
      <c r="D100" s="67">
        <f>100142895.26</f>
        <v>100142895.26000001</v>
      </c>
      <c r="E100" s="43" t="s">
        <v>58</v>
      </c>
      <c r="F100" s="43" t="s">
        <v>58</v>
      </c>
      <c r="G100" s="43" t="s">
        <v>58</v>
      </c>
      <c r="H100" s="43" t="s">
        <v>58</v>
      </c>
      <c r="I100" s="43" t="s">
        <v>58</v>
      </c>
      <c r="J100" s="68">
        <f t="shared" si="13"/>
        <v>2.37944138754311</v>
      </c>
      <c r="K100" s="66">
        <f t="shared" si="11"/>
        <v>30.726503900813924</v>
      </c>
    </row>
    <row r="101" spans="2:11" x14ac:dyDescent="0.2">
      <c r="B101" s="80" t="s">
        <v>112</v>
      </c>
      <c r="C101" s="67">
        <f>952867364.69</f>
        <v>952867364.69000006</v>
      </c>
      <c r="D101" s="67">
        <f>2112564945.72</f>
        <v>2112564945.72</v>
      </c>
      <c r="E101" s="43" t="s">
        <v>58</v>
      </c>
      <c r="F101" s="43" t="s">
        <v>58</v>
      </c>
      <c r="G101" s="43" t="s">
        <v>58</v>
      </c>
      <c r="H101" s="43" t="s">
        <v>58</v>
      </c>
      <c r="I101" s="43" t="s">
        <v>58</v>
      </c>
      <c r="J101" s="48">
        <f t="shared" si="13"/>
        <v>50.195517641746797</v>
      </c>
      <c r="K101" s="49">
        <f t="shared" si="11"/>
        <v>221.70608670255893</v>
      </c>
    </row>
    <row r="102" spans="2:11" ht="22.5" x14ac:dyDescent="0.2">
      <c r="B102" s="93" t="s">
        <v>113</v>
      </c>
      <c r="C102" s="67">
        <f>38375523.45</f>
        <v>38375523.450000003</v>
      </c>
      <c r="D102" s="67">
        <f>41110575.61</f>
        <v>41110575.609999999</v>
      </c>
      <c r="E102" s="43" t="s">
        <v>58</v>
      </c>
      <c r="F102" s="43" t="s">
        <v>58</v>
      </c>
      <c r="G102" s="43" t="s">
        <v>58</v>
      </c>
      <c r="H102" s="43" t="s">
        <v>58</v>
      </c>
      <c r="I102" s="43" t="s">
        <v>58</v>
      </c>
      <c r="J102" s="48">
        <f t="shared" si="13"/>
        <v>0.97680624090390744</v>
      </c>
      <c r="K102" s="49">
        <f>IF(C102=0,"",100*D102/C102)</f>
        <v>107.12707453636048</v>
      </c>
    </row>
    <row r="104" spans="2:11" ht="18" customHeight="1" x14ac:dyDescent="0.2">
      <c r="B104" s="41" t="s">
        <v>16</v>
      </c>
      <c r="C104" s="73" t="s">
        <v>17</v>
      </c>
      <c r="D104" s="19" t="s">
        <v>1</v>
      </c>
    </row>
    <row r="105" spans="2:11" x14ac:dyDescent="0.2">
      <c r="B105" s="41"/>
      <c r="C105" s="96" t="s">
        <v>78</v>
      </c>
      <c r="D105" s="97"/>
    </row>
    <row r="106" spans="2:11" x14ac:dyDescent="0.2">
      <c r="B106" s="39">
        <v>1</v>
      </c>
      <c r="C106" s="73">
        <v>2</v>
      </c>
      <c r="D106" s="19">
        <v>3</v>
      </c>
    </row>
    <row r="107" spans="2:11" ht="33.75" x14ac:dyDescent="0.2">
      <c r="B107" s="47" t="s">
        <v>114</v>
      </c>
      <c r="C107" s="45">
        <f>50940423573.91</f>
        <v>50940423573.910004</v>
      </c>
      <c r="D107" s="28">
        <f>0</f>
        <v>0</v>
      </c>
    </row>
    <row r="108" spans="2:11" ht="33.75" x14ac:dyDescent="0.2">
      <c r="B108" s="86" t="s">
        <v>80</v>
      </c>
      <c r="C108" s="46">
        <f>2163706838.96</f>
        <v>2163706838.96</v>
      </c>
      <c r="D108" s="75">
        <f>0</f>
        <v>0</v>
      </c>
    </row>
    <row r="109" spans="2:11" x14ac:dyDescent="0.2">
      <c r="B109" s="86" t="s">
        <v>81</v>
      </c>
      <c r="C109" s="46">
        <f>22110123761.78</f>
        <v>22110123761.779999</v>
      </c>
      <c r="D109" s="75">
        <f>0</f>
        <v>0</v>
      </c>
    </row>
    <row r="110" spans="2:11" ht="22.5" x14ac:dyDescent="0.2">
      <c r="B110" s="86" t="s">
        <v>82</v>
      </c>
      <c r="C110" s="46">
        <f>22960000</f>
        <v>22960000</v>
      </c>
      <c r="D110" s="75">
        <f>0</f>
        <v>0</v>
      </c>
    </row>
    <row r="111" spans="2:11" ht="56.25" x14ac:dyDescent="0.2">
      <c r="B111" s="86" t="s">
        <v>100</v>
      </c>
      <c r="C111" s="46">
        <f>4993721931.15</f>
        <v>4993721931.1499996</v>
      </c>
      <c r="D111" s="75">
        <f>0</f>
        <v>0</v>
      </c>
    </row>
    <row r="112" spans="2:11" ht="78.75" x14ac:dyDescent="0.2">
      <c r="B112" s="86" t="s">
        <v>83</v>
      </c>
      <c r="C112" s="46">
        <f>13403312408.96</f>
        <v>13403312408.959999</v>
      </c>
      <c r="D112" s="75">
        <f>0</f>
        <v>0</v>
      </c>
    </row>
    <row r="113" spans="2:4" ht="146.25" x14ac:dyDescent="0.2">
      <c r="B113" s="86" t="s">
        <v>102</v>
      </c>
      <c r="C113" s="46">
        <f>5128540334.35</f>
        <v>5128540334.3500004</v>
      </c>
      <c r="D113" s="75">
        <f>0</f>
        <v>0</v>
      </c>
    </row>
    <row r="114" spans="2:4" ht="22.5" x14ac:dyDescent="0.2">
      <c r="B114" s="86" t="s">
        <v>95</v>
      </c>
      <c r="C114" s="46">
        <f>136966061.09</f>
        <v>136966061.09</v>
      </c>
      <c r="D114" s="75">
        <f>0</f>
        <v>0</v>
      </c>
    </row>
    <row r="115" spans="2:4" ht="22.5" x14ac:dyDescent="0.2">
      <c r="B115" s="86" t="s">
        <v>111</v>
      </c>
      <c r="C115" s="46">
        <f>2981092237.62</f>
        <v>2981092237.6199999</v>
      </c>
      <c r="D115" s="75">
        <f>0</f>
        <v>0</v>
      </c>
    </row>
    <row r="117" spans="2:4" x14ac:dyDescent="0.2">
      <c r="B117" s="33" t="s">
        <v>66</v>
      </c>
      <c r="C117" s="33">
        <f>1</f>
        <v>1</v>
      </c>
      <c r="D117" s="33" t="str">
        <f>IF(C117=1,"I Kwartał",IF(C117=2,"II Kwartały",IF(C117=3,"III Kwartały",IF(C117=4,"IV Kwartały",IF(C117="M1","Styczeń",IF(C117="M11","Listopad",IF(C117="M12","Grudzień","-")))))))</f>
        <v>I Kwartał</v>
      </c>
    </row>
    <row r="118" spans="2:4" x14ac:dyDescent="0.2">
      <c r="B118" s="33" t="s">
        <v>67</v>
      </c>
      <c r="C118" s="89">
        <f>2023</f>
        <v>2023</v>
      </c>
    </row>
    <row r="119" spans="2:4" x14ac:dyDescent="0.2">
      <c r="B119" s="33" t="s">
        <v>68</v>
      </c>
      <c r="C119" s="94" t="str">
        <f>"May 26 2023 12:00AM"</f>
        <v>May 26 2023 12:00AM</v>
      </c>
      <c r="D119" s="95"/>
    </row>
  </sheetData>
  <mergeCells count="20">
    <mergeCell ref="B3:B4"/>
    <mergeCell ref="J4:L4"/>
    <mergeCell ref="B60:B63"/>
    <mergeCell ref="C4:I4"/>
    <mergeCell ref="D60:D62"/>
    <mergeCell ref="E60:E62"/>
    <mergeCell ref="C63:H63"/>
    <mergeCell ref="F61:F62"/>
    <mergeCell ref="C119:D119"/>
    <mergeCell ref="C105:D105"/>
    <mergeCell ref="J84:K84"/>
    <mergeCell ref="J63:K63"/>
    <mergeCell ref="K60:K62"/>
    <mergeCell ref="I60:I62"/>
    <mergeCell ref="J60:J62"/>
    <mergeCell ref="F60:H60"/>
    <mergeCell ref="C60:C62"/>
    <mergeCell ref="G61:H61"/>
    <mergeCell ref="E83:I85"/>
    <mergeCell ref="C84:D84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55" orientation="landscape" useFirstPageNumber="1" r:id="rId1"/>
  <headerFooter alignWithMargins="0">
    <oddFooter>&amp;RStrona &amp;P z &amp;N</oddFooter>
  </headerFooter>
  <rowBreaks count="3" manualBreakCount="3">
    <brk id="21" max="16383" man="1"/>
    <brk id="57" max="16383" man="1"/>
    <brk id="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2018-03-19T09:12:59Z</cp:lastPrinted>
  <dcterms:created xsi:type="dcterms:W3CDTF">2001-05-17T08:58:03Z</dcterms:created>
  <dcterms:modified xsi:type="dcterms:W3CDTF">2023-06-01T13:56:46Z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UxC4dwLulzfINJ8nQH+xvX5LNGipWa4BRSZhPgxsCvkoSyW6oxOIkannjhetQWewJxpKYDbHrFlkYqkjpcojww==</vt:lpwstr>
  </property>
  <property fmtid="{D5CDD505-2E9C-101B-9397-08002B2CF9AE}" pid="4" name="MFClassificationDate">
    <vt:lpwstr>2023-06-01T15:42:07.6663275+02:00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GRN-86d2bfb4-8edb-4506-9ae8-8ffc3264af82</vt:lpwstr>
  </property>
  <property fmtid="{D5CDD505-2E9C-101B-9397-08002B2CF9AE}" pid="7" name="MFHash">
    <vt:lpwstr>FJwHCO3ojP8OGtHFoJTLiQLLpQLq9Wuo+1/tfImc+Lg=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