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4\I kwartał\2024.05.21 dane ostateczne\BIP MF\Zbiorówki z SubRozw - podmianka\"/>
    </mc:Choice>
  </mc:AlternateContent>
  <xr:revisionPtr revIDLastSave="0" documentId="13_ncr:1_{CBAD9747-A9F3-4E6B-83FD-113A1A44D8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doch_wyd!$B$1:$L$107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4" l="1"/>
  <c r="C106" i="4"/>
  <c r="C105" i="4"/>
  <c r="C104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I67" i="4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0" i="4"/>
  <c r="H60" i="4"/>
  <c r="G60" i="4"/>
  <c r="F60" i="4"/>
  <c r="E60" i="4"/>
  <c r="D60" i="4"/>
  <c r="C60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D42" i="4"/>
  <c r="C42" i="4"/>
  <c r="D40" i="4"/>
  <c r="C40" i="4"/>
  <c r="D39" i="4"/>
  <c r="C39" i="4"/>
  <c r="D38" i="4"/>
  <c r="C38" i="4"/>
  <c r="D37" i="4"/>
  <c r="D35" i="4" s="1"/>
  <c r="C37" i="4"/>
  <c r="D36" i="4"/>
  <c r="C36" i="4"/>
  <c r="D34" i="4"/>
  <c r="C34" i="4"/>
  <c r="D33" i="4"/>
  <c r="C33" i="4"/>
  <c r="D32" i="4"/>
  <c r="C32" i="4"/>
  <c r="D31" i="4"/>
  <c r="J31" i="4" s="1"/>
  <c r="C31" i="4"/>
  <c r="D30" i="4"/>
  <c r="C30" i="4"/>
  <c r="K30" i="4" s="1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K19" i="4" s="1"/>
  <c r="D18" i="4"/>
  <c r="C18" i="4"/>
  <c r="D17" i="4"/>
  <c r="C17" i="4"/>
  <c r="D16" i="4"/>
  <c r="K16" i="4" s="1"/>
  <c r="C16" i="4"/>
  <c r="D15" i="4"/>
  <c r="C15" i="4"/>
  <c r="C12" i="4" s="1"/>
  <c r="D14" i="4"/>
  <c r="C14" i="4"/>
  <c r="D13" i="4"/>
  <c r="C13" i="4"/>
  <c r="D9" i="4"/>
  <c r="C9" i="4"/>
  <c r="K9" i="4" s="1"/>
  <c r="D8" i="4"/>
  <c r="C8" i="4"/>
  <c r="D7" i="4"/>
  <c r="C7" i="4"/>
  <c r="K7" i="4" s="1"/>
  <c r="D5" i="4"/>
  <c r="J22" i="4" s="1"/>
  <c r="C5" i="4"/>
  <c r="C35" i="4"/>
  <c r="K40" i="4"/>
  <c r="K39" i="4"/>
  <c r="K60" i="4"/>
  <c r="K38" i="4"/>
  <c r="K67" i="4"/>
  <c r="J54" i="4"/>
  <c r="J57" i="4"/>
  <c r="J56" i="4"/>
  <c r="D55" i="4"/>
  <c r="D61" i="4" s="1"/>
  <c r="J60" i="4"/>
  <c r="J58" i="4"/>
  <c r="J53" i="4"/>
  <c r="J59" i="4"/>
  <c r="J52" i="4"/>
  <c r="K13" i="4"/>
  <c r="K24" i="4"/>
  <c r="K82" i="4"/>
  <c r="D104" i="4"/>
  <c r="B45" i="4" s="1"/>
  <c r="K25" i="4"/>
  <c r="K87" i="4"/>
  <c r="K37" i="4"/>
  <c r="K59" i="4"/>
  <c r="K17" i="4"/>
  <c r="K29" i="4"/>
  <c r="E55" i="4"/>
  <c r="E61" i="4"/>
  <c r="K75" i="4"/>
  <c r="K88" i="4"/>
  <c r="F55" i="4"/>
  <c r="F61" i="4"/>
  <c r="K18" i="4"/>
  <c r="G55" i="4"/>
  <c r="G61" i="4" s="1"/>
  <c r="K57" i="4"/>
  <c r="K76" i="4"/>
  <c r="K89" i="4"/>
  <c r="H55" i="4"/>
  <c r="H61" i="4"/>
  <c r="I55" i="4"/>
  <c r="I61" i="4"/>
  <c r="H68" i="4"/>
  <c r="K81" i="4"/>
  <c r="K8" i="4"/>
  <c r="K23" i="4"/>
  <c r="K36" i="4"/>
  <c r="K54" i="4"/>
  <c r="I68" i="4"/>
  <c r="K77" i="4"/>
  <c r="K83" i="4"/>
  <c r="D12" i="4"/>
  <c r="K20" i="4"/>
  <c r="K32" i="4"/>
  <c r="K66" i="4"/>
  <c r="C68" i="4"/>
  <c r="K68" i="4"/>
  <c r="K78" i="4"/>
  <c r="K56" i="4"/>
  <c r="J86" i="4"/>
  <c r="J87" i="4"/>
  <c r="J85" i="4"/>
  <c r="J88" i="4"/>
  <c r="J84" i="4"/>
  <c r="J89" i="4"/>
  <c r="K5" i="4"/>
  <c r="C62" i="4"/>
  <c r="C41" i="4"/>
  <c r="K27" i="4"/>
  <c r="K42" i="4"/>
  <c r="K73" i="4"/>
  <c r="J25" i="4"/>
  <c r="J9" i="4"/>
  <c r="J15" i="4"/>
  <c r="J18" i="4"/>
  <c r="J37" i="4"/>
  <c r="J26" i="4"/>
  <c r="J13" i="4"/>
  <c r="J38" i="4"/>
  <c r="J16" i="4"/>
  <c r="J30" i="4"/>
  <c r="J29" i="4"/>
  <c r="K58" i="4"/>
  <c r="F68" i="4"/>
  <c r="J75" i="4"/>
  <c r="J76" i="4"/>
  <c r="J73" i="4"/>
  <c r="J79" i="4"/>
  <c r="J82" i="4"/>
  <c r="J81" i="4"/>
  <c r="J83" i="4"/>
  <c r="J74" i="4"/>
  <c r="J77" i="4"/>
  <c r="J78" i="4"/>
  <c r="J80" i="4"/>
  <c r="K53" i="4"/>
  <c r="K14" i="4"/>
  <c r="K26" i="4"/>
  <c r="K84" i="4"/>
  <c r="J67" i="4"/>
  <c r="J66" i="4"/>
  <c r="D68" i="4"/>
  <c r="J68" i="4"/>
  <c r="K15" i="4"/>
  <c r="K21" i="4"/>
  <c r="K33" i="4"/>
  <c r="E68" i="4"/>
  <c r="K79" i="4"/>
  <c r="K85" i="4"/>
  <c r="K22" i="4"/>
  <c r="K28" i="4"/>
  <c r="K34" i="4"/>
  <c r="K52" i="4"/>
  <c r="C55" i="4"/>
  <c r="G68" i="4"/>
  <c r="K74" i="4"/>
  <c r="K80" i="4"/>
  <c r="K86" i="4"/>
  <c r="C43" i="4"/>
  <c r="C61" i="4"/>
  <c r="B1" i="4" l="1"/>
  <c r="B69" i="4"/>
  <c r="J61" i="4"/>
  <c r="K61" i="4"/>
  <c r="K55" i="4"/>
  <c r="J55" i="4"/>
  <c r="C63" i="4"/>
  <c r="K35" i="4"/>
  <c r="D11" i="4"/>
  <c r="K31" i="4"/>
  <c r="C11" i="4"/>
  <c r="C6" i="4"/>
  <c r="K11" i="4"/>
  <c r="K12" i="4"/>
  <c r="C10" i="4"/>
  <c r="J27" i="4"/>
  <c r="J7" i="4"/>
  <c r="J32" i="4"/>
  <c r="J42" i="4"/>
  <c r="J12" i="4"/>
  <c r="J24" i="4"/>
  <c r="J35" i="4"/>
  <c r="J33" i="4"/>
  <c r="D6" i="4"/>
  <c r="J8" i="4"/>
  <c r="J28" i="4"/>
  <c r="J40" i="4"/>
  <c r="J21" i="4"/>
  <c r="D41" i="4"/>
  <c r="J20" i="4"/>
  <c r="J39" i="4"/>
  <c r="J19" i="4"/>
  <c r="J23" i="4"/>
  <c r="J36" i="4"/>
  <c r="J34" i="4"/>
  <c r="J11" i="4"/>
  <c r="J14" i="4"/>
  <c r="J5" i="4"/>
  <c r="D62" i="4"/>
  <c r="J17" i="4"/>
  <c r="L7" i="4" l="1"/>
  <c r="L9" i="4"/>
  <c r="D10" i="4"/>
  <c r="L10" i="4" s="1"/>
  <c r="L6" i="4"/>
  <c r="K6" i="4"/>
  <c r="J6" i="4"/>
  <c r="L8" i="4"/>
  <c r="D43" i="4"/>
  <c r="K41" i="4"/>
  <c r="J41" i="4"/>
  <c r="D63" i="4" l="1"/>
  <c r="K43" i="4"/>
  <c r="J43" i="4"/>
  <c r="K10" i="4"/>
  <c r="J10" i="4"/>
</calcChain>
</file>

<file path=xl/sharedStrings.xml><?xml version="1.0" encoding="utf-8"?>
<sst xmlns="http://schemas.openxmlformats.org/spreadsheetml/2006/main" count="406" uniqueCount="105">
  <si>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</si>
  <si>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</si>
  <si>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</si>
  <si>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</si>
  <si>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</si>
  <si>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</si>
  <si>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</si>
  <si>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</si>
  <si>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</si>
  <si>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</si>
  <si>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</si>
  <si>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</si>
  <si>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</si>
  <si>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</si>
  <si>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</si>
  <si>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</si>
  <si>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</si>
  <si>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</si>
  <si>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</si>
  <si>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</si>
  <si>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</si>
  <si>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</si>
  <si>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</si>
  <si>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</si>
  <si>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</si>
  <si>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</si>
  <si>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</si>
  <si>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</si>
  <si>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</si>
  <si>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równoważąca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</si>
  <si>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</si>
  <si>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</si>
  <si>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</si>
  <si>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</si>
  <si>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</si>
  <si>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</si>
  <si>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</si>
  <si>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</si>
  <si>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</si>
  <si>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</si>
  <si>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</si>
  <si>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</si>
  <si>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</si>
  <si>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</si>
  <si>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</si>
  <si>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</si>
  <si>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</si>
  <si>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</si>
  <si>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</si>
  <si>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</si>
  <si>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</si>
  <si>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</si>
  <si>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</si>
  <si>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</si>
  <si>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</si>
  <si>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</si>
  <si>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</si>
  <si>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</si>
  <si>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</si>
  <si>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</si>
  <si>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</si>
  <si>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</si>
  <si>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</si>
  <si>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</si>
  <si>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</si>
  <si>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</si>
  <si>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</si>
  <si>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</si>
  <si>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Dotacje §§ 205 i 625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</si>
  <si>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</si>
  <si>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</si>
  <si>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</si>
  <si>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</si>
  <si>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</si>
  <si>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wykup papierów wartościowych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</si>
  <si>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</si>
  <si>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</si>
  <si>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</si>
  <si>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</si>
  <si>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</si>
  <si>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</si>
  <si>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</si>
  <si>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</si>
  <si>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udzielone pożyczki</t>
  </si>
  <si>
    <t>wynagrodzenia i składki od nich naliczane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</si>
  <si>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</si>
  <si>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</si>
  <si>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</si>
  <si>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</si>
  <si>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</si>
  <si>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</si>
  <si>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Dotacje ogółem 
z tego:</t>
  </si>
  <si>
    <t>Wydatki ogółem UE 
z tego:</t>
  </si>
  <si>
    <t>Dochody bieżące
minus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</si>
  <si>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</si>
  <si>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</si>
  <si>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</si>
  <si>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</si>
  <si>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</si>
  <si>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</si>
  <si>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</si>
  <si>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stan niespłaconych na koniec okresu sprawozdawczego zobowiązań przeznaczonych na cel , o którym mowa w art. 89 ust. 1 pkt 1 ustawy o finansach publicznych</t>
  </si>
  <si>
    <t>spłaty kredytów i  pożyczek, wykup papierów wartościowych 
w tym:</t>
  </si>
  <si>
    <t>FINANSOWANIE DEFICYTU (E1+E2+E3+E4+E5+E6+E7+E8) 
z tego:</t>
  </si>
  <si>
    <t>część rozwojowa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</si>
</sst>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6" fillId="0" borderId="0"/>
    <xf numFmtId="0" fontId="36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/>
    </xf>
    <xf numFmtId="4" fontId="32" fillId="20" borderId="10" xfId="0" applyNumberFormat="1" applyFont="1" applyFill="1" applyBorder="1" applyAlignment="1">
      <alignment horizontal="right" vertical="center"/>
    </xf>
    <xf numFmtId="165" fontId="32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165" fontId="33" fillId="0" borderId="10" xfId="0" applyNumberFormat="1" applyFont="1" applyFill="1" applyBorder="1" applyAlignment="1">
      <alignment horizontal="right" vertical="center"/>
    </xf>
    <xf numFmtId="165" fontId="33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165" fontId="34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" fontId="32" fillId="20" borderId="10" xfId="0" applyNumberFormat="1" applyFont="1" applyFill="1" applyBorder="1" applyAlignment="1">
      <alignment horizontal="right" vertical="center" wrapText="1"/>
    </xf>
    <xf numFmtId="165" fontId="35" fillId="20" borderId="10" xfId="0" applyNumberFormat="1" applyFont="1" applyFill="1" applyBorder="1" applyAlignment="1">
      <alignment horizontal="right" vertical="center"/>
    </xf>
    <xf numFmtId="0" fontId="34" fillId="0" borderId="0" xfId="0" applyFont="1"/>
    <xf numFmtId="0" fontId="34" fillId="0" borderId="0" xfId="0" applyFont="1" applyBorder="1"/>
    <xf numFmtId="3" fontId="32" fillId="0" borderId="0" xfId="0" applyNumberFormat="1" applyFont="1" applyBorder="1" applyAlignment="1">
      <alignment horizontal="right" vertical="center"/>
    </xf>
    <xf numFmtId="165" fontId="34" fillId="0" borderId="0" xfId="0" applyNumberFormat="1" applyFont="1"/>
    <xf numFmtId="4" fontId="35" fillId="20" borderId="12" xfId="0" applyNumberFormat="1" applyFont="1" applyFill="1" applyBorder="1" applyAlignment="1">
      <alignment horizontal="right" vertical="center"/>
    </xf>
    <xf numFmtId="165" fontId="35" fillId="20" borderId="10" xfId="28" applyNumberFormat="1" applyFont="1" applyFill="1" applyBorder="1" applyAlignment="1">
      <alignment horizontal="right" vertical="center"/>
    </xf>
    <xf numFmtId="4" fontId="34" fillId="0" borderId="12" xfId="0" applyNumberFormat="1" applyFont="1" applyBorder="1" applyAlignment="1">
      <alignment horizontal="right" vertical="center"/>
    </xf>
    <xf numFmtId="165" fontId="35" fillId="21" borderId="10" xfId="28" applyNumberFormat="1" applyFont="1" applyFill="1" applyBorder="1" applyAlignment="1">
      <alignment horizontal="right" vertical="center"/>
    </xf>
    <xf numFmtId="165" fontId="35" fillId="21" borderId="10" xfId="0" applyNumberFormat="1" applyFont="1" applyFill="1" applyBorder="1" applyAlignment="1">
      <alignment horizontal="right" vertical="center"/>
    </xf>
    <xf numFmtId="4" fontId="34" fillId="22" borderId="12" xfId="0" applyNumberFormat="1" applyFont="1" applyFill="1" applyBorder="1" applyAlignment="1">
      <alignment horizontal="right" vertical="center"/>
    </xf>
    <xf numFmtId="165" fontId="35" fillId="22" borderId="10" xfId="0" applyNumberFormat="1" applyFont="1" applyFill="1" applyBorder="1" applyAlignment="1">
      <alignment horizontal="right" vertical="center"/>
    </xf>
    <xf numFmtId="4" fontId="35" fillId="22" borderId="12" xfId="0" applyNumberFormat="1" applyFont="1" applyFill="1" applyBorder="1" applyAlignment="1">
      <alignment horizontal="right" vertical="center"/>
    </xf>
    <xf numFmtId="0" fontId="11" fillId="19" borderId="10" xfId="0" applyFont="1" applyFill="1" applyBorder="1" applyAlignment="1">
      <alignment horizontal="center" vertical="center" wrapText="1"/>
    </xf>
    <xf numFmtId="0" fontId="37" fillId="22" borderId="10" xfId="44" applyFont="1" applyFill="1" applyBorder="1" applyAlignment="1">
      <alignment horizontal="left" vertical="top" wrapText="1"/>
    </xf>
    <xf numFmtId="4" fontId="32" fillId="22" borderId="10" xfId="0" applyNumberFormat="1" applyFont="1" applyFill="1" applyBorder="1" applyAlignment="1">
      <alignment horizontal="right" vertical="center"/>
    </xf>
    <xf numFmtId="165" fontId="32" fillId="22" borderId="10" xfId="0" applyNumberFormat="1" applyFont="1" applyFill="1" applyBorder="1" applyAlignment="1">
      <alignment horizontal="right" vertical="center"/>
    </xf>
    <xf numFmtId="4" fontId="34" fillId="0" borderId="10" xfId="0" applyNumberFormat="1" applyFont="1" applyFill="1" applyBorder="1" applyAlignment="1">
      <alignment horizontal="right" vertical="center"/>
    </xf>
    <xf numFmtId="165" fontId="33" fillId="0" borderId="0" xfId="0" applyNumberFormat="1" applyFont="1" applyFill="1" applyBorder="1" applyAlignment="1">
      <alignment horizontal="right" vertical="center"/>
    </xf>
    <xf numFmtId="4" fontId="33" fillId="22" borderId="10" xfId="0" applyNumberFormat="1" applyFont="1" applyFill="1" applyBorder="1" applyAlignment="1">
      <alignment horizontal="right" vertical="center"/>
    </xf>
    <xf numFmtId="165" fontId="33" fillId="22" borderId="10" xfId="0" applyNumberFormat="1" applyFont="1" applyFill="1" applyBorder="1" applyAlignment="1">
      <alignment horizontal="right" vertical="center"/>
    </xf>
    <xf numFmtId="4" fontId="35" fillId="22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 wrapText="1"/>
    </xf>
    <xf numFmtId="4" fontId="33" fillId="22" borderId="10" xfId="0" applyNumberFormat="1" applyFont="1" applyFill="1" applyBorder="1" applyAlignment="1">
      <alignment horizontal="right" vertical="center" wrapText="1"/>
    </xf>
    <xf numFmtId="165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right" vertical="center" wrapText="1"/>
    </xf>
    <xf numFmtId="4" fontId="32" fillId="20" borderId="11" xfId="0" applyNumberFormat="1" applyFont="1" applyFill="1" applyBorder="1" applyAlignment="1">
      <alignment horizontal="right" vertical="center" wrapText="1"/>
    </xf>
    <xf numFmtId="4" fontId="34" fillId="0" borderId="12" xfId="0" applyNumberFormat="1" applyFont="1" applyFill="1" applyBorder="1" applyAlignment="1">
      <alignment horizontal="right" vertical="center"/>
    </xf>
    <xf numFmtId="165" fontId="35" fillId="0" borderId="10" xfId="28" applyNumberFormat="1" applyFont="1" applyFill="1" applyBorder="1" applyAlignment="1">
      <alignment horizontal="right" vertical="center"/>
    </xf>
    <xf numFmtId="165" fontId="35" fillId="0" borderId="10" xfId="0" applyNumberFormat="1" applyFont="1" applyFill="1" applyBorder="1" applyAlignment="1">
      <alignment horizontal="right" vertical="center"/>
    </xf>
    <xf numFmtId="4" fontId="33" fillId="21" borderId="10" xfId="0" applyNumberFormat="1" applyFont="1" applyFill="1" applyBorder="1" applyAlignment="1">
      <alignment horizontal="right" vertical="center"/>
    </xf>
    <xf numFmtId="165" fontId="33" fillId="21" borderId="10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horizontal="center" vertical="center"/>
    </xf>
    <xf numFmtId="4" fontId="35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horizontal="right" vertical="center"/>
    </xf>
    <xf numFmtId="4" fontId="35" fillId="0" borderId="0" xfId="0" applyNumberFormat="1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 wrapText="1"/>
    </xf>
    <xf numFmtId="0" fontId="6" fillId="19" borderId="10" xfId="0" applyFont="1" applyFill="1" applyBorder="1" applyAlignment="1">
      <alignment vertical="center"/>
    </xf>
    <xf numFmtId="4" fontId="35" fillId="22" borderId="10" xfId="0" applyNumberFormat="1" applyFont="1" applyFill="1" applyBorder="1" applyAlignment="1">
      <alignment vertical="center"/>
    </xf>
    <xf numFmtId="4" fontId="32" fillId="22" borderId="10" xfId="0" applyNumberFormat="1" applyFont="1" applyFill="1" applyBorder="1" applyAlignment="1">
      <alignment vertical="center" wrapText="1"/>
    </xf>
    <xf numFmtId="4" fontId="33" fillId="0" borderId="10" xfId="0" applyNumberFormat="1" applyFont="1" applyBorder="1" applyAlignment="1">
      <alignment vertical="center"/>
    </xf>
    <xf numFmtId="4" fontId="33" fillId="0" borderId="10" xfId="0" applyNumberFormat="1" applyFont="1" applyFill="1" applyBorder="1" applyAlignment="1">
      <alignment vertical="center" wrapText="1"/>
    </xf>
    <xf numFmtId="4" fontId="33" fillId="0" borderId="10" xfId="0" applyNumberFormat="1" applyFont="1" applyFill="1" applyBorder="1" applyAlignment="1">
      <alignment vertical="center"/>
    </xf>
    <xf numFmtId="4" fontId="33" fillId="0" borderId="12" xfId="0" applyNumberFormat="1" applyFont="1" applyFill="1" applyBorder="1" applyAlignment="1">
      <alignment vertical="center" wrapText="1"/>
    </xf>
    <xf numFmtId="4" fontId="33" fillId="0" borderId="13" xfId="0" applyNumberFormat="1" applyFont="1" applyBorder="1" applyAlignment="1">
      <alignment horizontal="right" vertical="center"/>
    </xf>
    <xf numFmtId="4" fontId="33" fillId="0" borderId="14" xfId="0" applyNumberFormat="1" applyFont="1" applyBorder="1" applyAlignment="1">
      <alignment vertical="center" wrapText="1"/>
    </xf>
    <xf numFmtId="4" fontId="34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4" fontId="32" fillId="0" borderId="15" xfId="0" applyNumberFormat="1" applyFont="1" applyFill="1" applyBorder="1" applyAlignment="1">
      <alignment horizontal="right" vertical="center" wrapText="1"/>
    </xf>
    <xf numFmtId="4" fontId="32" fillId="0" borderId="14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0" borderId="16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vertical="center"/>
    </xf>
    <xf numFmtId="4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center" vertical="center"/>
    </xf>
    <xf numFmtId="4" fontId="34" fillId="0" borderId="10" xfId="0" applyNumberFormat="1" applyFont="1" applyBorder="1" applyAlignment="1">
      <alignment horizontal="right" vertical="center"/>
    </xf>
    <xf numFmtId="4" fontId="34" fillId="21" borderId="10" xfId="0" applyNumberFormat="1" applyFont="1" applyFill="1" applyBorder="1" applyAlignment="1">
      <alignment horizontal="right" vertical="center"/>
    </xf>
    <xf numFmtId="0" fontId="6" fillId="0" borderId="13" xfId="0" applyFont="1" applyBorder="1"/>
    <xf numFmtId="166" fontId="6" fillId="0" borderId="11" xfId="0" applyNumberFormat="1" applyFont="1" applyBorder="1"/>
    <xf numFmtId="4" fontId="35" fillId="20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10" fillId="22" borderId="11" xfId="0" applyFont="1" applyFill="1" applyBorder="1" applyAlignment="1">
      <alignment horizontal="center" vertical="top" wrapText="1"/>
    </xf>
    <xf numFmtId="0" fontId="10" fillId="20" borderId="10" xfId="0" applyFont="1" applyFill="1" applyBorder="1" applyAlignment="1">
      <alignment horizontal="left" vertical="top" wrapText="1"/>
    </xf>
    <xf numFmtId="0" fontId="7" fillId="22" borderId="10" xfId="0" applyFont="1" applyFill="1" applyBorder="1" applyAlignment="1">
      <alignment vertical="center" wrapText="1"/>
    </xf>
    <xf numFmtId="0" fontId="7" fillId="20" borderId="10" xfId="0" applyFont="1" applyFill="1" applyBorder="1" applyAlignment="1">
      <alignment horizontal="left" vertical="center" wrapText="1" indent="1"/>
    </xf>
    <xf numFmtId="0" fontId="7" fillId="22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2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1" borderId="10" xfId="0" applyFont="1" applyFill="1" applyBorder="1" applyAlignment="1">
      <alignment horizontal="left" vertical="center" wrapText="1" indent="3"/>
    </xf>
    <xf numFmtId="0" fontId="7" fillId="22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4" fillId="0" borderId="10" xfId="0" applyFont="1" applyBorder="1" applyAlignment="1">
      <alignment horizontal="left" vertical="center" wrapText="1" indent="4"/>
    </xf>
    <xf numFmtId="0" fontId="7" fillId="0" borderId="10" xfId="0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0" borderId="10" xfId="44" applyFont="1" applyFill="1" applyBorder="1" applyAlignment="1">
      <alignment horizontal="left" vertical="center" wrapText="1" indent="1"/>
    </xf>
    <xf numFmtId="4" fontId="33" fillId="22" borderId="17" xfId="0" applyNumberFormat="1" applyFont="1" applyFill="1" applyBorder="1" applyAlignment="1">
      <alignment horizontal="right" vertical="center" wrapText="1"/>
    </xf>
    <xf numFmtId="4" fontId="33" fillId="0" borderId="17" xfId="0" applyNumberFormat="1" applyFont="1" applyFill="1" applyBorder="1" applyAlignment="1">
      <alignment horizontal="right" vertical="center" wrapText="1"/>
    </xf>
    <xf numFmtId="0" fontId="7" fillId="22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right"/>
    </xf>
    <xf numFmtId="0" fontId="10" fillId="0" borderId="0" xfId="44" applyFont="1" applyFill="1" applyBorder="1" applyAlignment="1">
      <alignment horizontal="left" vertical="center"/>
    </xf>
    <xf numFmtId="4" fontId="32" fillId="22" borderId="0" xfId="0" applyNumberFormat="1" applyFont="1" applyFill="1" applyBorder="1" applyAlignment="1">
      <alignment horizontal="center" vertical="center"/>
    </xf>
    <xf numFmtId="0" fontId="38" fillId="0" borderId="0" xfId="0" applyFont="1"/>
    <xf numFmtId="0" fontId="37" fillId="0" borderId="10" xfId="45" applyFont="1" applyBorder="1" applyAlignment="1">
      <alignment horizontal="left" vertical="center" wrapText="1" indent="1"/>
    </xf>
    <xf numFmtId="0" fontId="4" fillId="19" borderId="12" xfId="0" applyFont="1" applyFill="1" applyBorder="1" applyAlignment="1">
      <alignment horizontal="center" vertical="center"/>
    </xf>
    <xf numFmtId="0" fontId="4" fillId="19" borderId="24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3" xfId="0" applyFont="1" applyFill="1" applyBorder="1" applyAlignment="1">
      <alignment horizontal="center" vertical="center" wrapText="1"/>
    </xf>
    <xf numFmtId="0" fontId="6" fillId="19" borderId="23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166" fontId="6" fillId="0" borderId="12" xfId="0" applyNumberFormat="1" applyFont="1" applyBorder="1" applyAlignment="1">
      <alignment horizontal="center"/>
    </xf>
    <xf numFmtId="166" fontId="6" fillId="0" borderId="17" xfId="0" applyNumberFormat="1" applyFont="1" applyBorder="1" applyAlignment="1">
      <alignment horizontal="center"/>
    </xf>
    <xf numFmtId="0" fontId="6" fillId="19" borderId="14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1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0" fontId="6" fillId="19" borderId="17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4" fontId="32" fillId="0" borderId="16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/>
    </xf>
  </cellXfs>
  <cellStyles count="5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Dziesiętny 3 2" xfId="30" xr:uid="{00000000-0005-0000-0000-00001D000000}"/>
    <cellStyle name="Dziesiętny 3 3" xfId="31" xr:uid="{00000000-0005-0000-0000-00001E000000}"/>
    <cellStyle name="Dziesiętny 3 4" xfId="32" xr:uid="{00000000-0005-0000-0000-00001F000000}"/>
    <cellStyle name="Dziesiętny 4" xfId="33" xr:uid="{00000000-0005-0000-0000-000020000000}"/>
    <cellStyle name="Dziesiętny 5" xfId="34" xr:uid="{00000000-0005-0000-0000-000021000000}"/>
    <cellStyle name="Explanatory Text" xfId="35" xr:uid="{00000000-0005-0000-0000-000022000000}"/>
    <cellStyle name="Good" xfId="36" xr:uid="{00000000-0005-0000-0000-000023000000}"/>
    <cellStyle name="Heading 1" xfId="37" xr:uid="{00000000-0005-0000-0000-000024000000}"/>
    <cellStyle name="Heading 2" xfId="38" xr:uid="{00000000-0005-0000-0000-000025000000}"/>
    <cellStyle name="Heading 3" xfId="39" xr:uid="{00000000-0005-0000-0000-000026000000}"/>
    <cellStyle name="Heading 4" xfId="40" xr:uid="{00000000-0005-0000-0000-000027000000}"/>
    <cellStyle name="Input" xfId="41" xr:uid="{00000000-0005-0000-0000-000028000000}"/>
    <cellStyle name="Linked Cell" xfId="42" xr:uid="{00000000-0005-0000-0000-000029000000}"/>
    <cellStyle name="Neutral" xfId="43" xr:uid="{00000000-0005-0000-0000-00002A000000}"/>
    <cellStyle name="Normalny" xfId="0" builtinId="0"/>
    <cellStyle name="Normalny 2" xfId="44" xr:uid="{00000000-0005-0000-0000-00002C000000}"/>
    <cellStyle name="Normalny 2 2" xfId="45" xr:uid="{00000000-0005-0000-0000-00002D000000}"/>
    <cellStyle name="Note" xfId="46" xr:uid="{00000000-0005-0000-0000-00002E000000}"/>
    <cellStyle name="Output" xfId="47" xr:uid="{00000000-0005-0000-0000-00002F000000}"/>
    <cellStyle name="Title" xfId="48" xr:uid="{00000000-0005-0000-0000-000030000000}"/>
    <cellStyle name="Total" xfId="49" xr:uid="{00000000-0005-0000-0000-000031000000}"/>
    <cellStyle name="Warning Text" xfId="50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07"/>
  <sheetViews>
    <sheetView tabSelected="1" topLeftCell="B1" zoomScaleNormal="100" workbookViewId="0">
      <selection activeCell="B1" sqref="B1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7109375" style="1" customWidth="1"/>
    <col min="5" max="9" width="14.7109375" style="1" customWidth="1" outlineLevel="1"/>
    <col min="10" max="10" width="9.7109375" style="1" customWidth="1"/>
    <col min="11" max="11" width="7.42578125" style="1" customWidth="1"/>
    <col min="12" max="12" width="9.140625" style="1" customWidth="1"/>
    <col min="13" max="13" width="8.140625" style="1" hidden="1" customWidth="1"/>
    <col min="14" max="16384" width="9.140625" style="1"/>
  </cols>
  <sheetData>
    <row r="1" spans="2:13" ht="20.100000000000001" customHeight="1" x14ac:dyDescent="0.2">
      <c r="B1" s="117" t="str">
        <f>CONCATENATE("Informacja z wykonania budżetów powiatów za ",$D$104," ",$C$105," rok     ",$C$107,"")</f>
        <v xml:space="preserve">Informacja z wykonania budżetów powiatów za I Kwartał 2024 rok     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2:13" ht="57.75" customHeight="1" x14ac:dyDescent="0.2">
      <c r="B2" s="139" t="s">
        <v>0</v>
      </c>
      <c r="C2" s="14" t="s">
        <v>26</v>
      </c>
      <c r="D2" s="14" t="s">
        <v>27</v>
      </c>
      <c r="E2" s="14" t="s">
        <v>86</v>
      </c>
      <c r="F2" s="14" t="s">
        <v>87</v>
      </c>
      <c r="G2" s="14" t="s">
        <v>88</v>
      </c>
      <c r="H2" s="14" t="s">
        <v>89</v>
      </c>
      <c r="I2" s="14" t="s">
        <v>90</v>
      </c>
      <c r="J2" s="16" t="s">
        <v>2</v>
      </c>
      <c r="K2" s="14" t="s">
        <v>18</v>
      </c>
      <c r="L2" s="14" t="s">
        <v>3</v>
      </c>
    </row>
    <row r="3" spans="2:13" x14ac:dyDescent="0.2">
      <c r="B3" s="139"/>
      <c r="C3" s="130" t="s">
        <v>59</v>
      </c>
      <c r="D3" s="132"/>
      <c r="E3" s="133" t="s">
        <v>85</v>
      </c>
      <c r="F3" s="134"/>
      <c r="G3" s="134"/>
      <c r="H3" s="134"/>
      <c r="I3" s="135"/>
      <c r="J3" s="130" t="s">
        <v>4</v>
      </c>
      <c r="K3" s="131"/>
      <c r="L3" s="132"/>
    </row>
    <row r="4" spans="2:13" ht="9" customHeight="1" x14ac:dyDescent="0.2">
      <c r="B4" s="16">
        <v>1</v>
      </c>
      <c r="C4" s="18">
        <v>2</v>
      </c>
      <c r="D4" s="18">
        <v>3</v>
      </c>
      <c r="E4" s="136"/>
      <c r="F4" s="137"/>
      <c r="G4" s="137"/>
      <c r="H4" s="137"/>
      <c r="I4" s="138"/>
      <c r="J4" s="18">
        <v>4</v>
      </c>
      <c r="K4" s="18">
        <v>5</v>
      </c>
      <c r="L4" s="18">
        <v>6</v>
      </c>
    </row>
    <row r="5" spans="2:13" ht="12.95" customHeight="1" x14ac:dyDescent="0.2">
      <c r="B5" s="106" t="s">
        <v>5</v>
      </c>
      <c r="C5" s="54">
        <f>54514527892.28</f>
        <v>54514527892.279999</v>
      </c>
      <c r="D5" s="54">
        <f>14711724692.89</f>
        <v>14711724692.889999</v>
      </c>
      <c r="E5" s="97" t="s">
        <v>85</v>
      </c>
      <c r="F5" s="97" t="s">
        <v>85</v>
      </c>
      <c r="G5" s="97" t="s">
        <v>85</v>
      </c>
      <c r="H5" s="97" t="s">
        <v>85</v>
      </c>
      <c r="I5" s="97" t="s">
        <v>85</v>
      </c>
      <c r="J5" s="55">
        <f t="shared" ref="J5:J40" si="0">IF($D$5=0,"",100*$D5/$D$5)</f>
        <v>100</v>
      </c>
      <c r="K5" s="55">
        <f t="shared" ref="K5:K43" si="1">IF(C5=0,"",100*D5/C5)</f>
        <v>26.986796477372376</v>
      </c>
      <c r="L5" s="55"/>
    </row>
    <row r="6" spans="2:13" ht="26.85" customHeight="1" x14ac:dyDescent="0.2">
      <c r="B6" s="107" t="s">
        <v>41</v>
      </c>
      <c r="C6" s="30">
        <f>C5-C11-C35</f>
        <v>17546801918.889999</v>
      </c>
      <c r="D6" s="30">
        <f>D5-D11-D35</f>
        <v>4162576527.3099995</v>
      </c>
      <c r="E6" s="97" t="s">
        <v>85</v>
      </c>
      <c r="F6" s="97" t="s">
        <v>85</v>
      </c>
      <c r="G6" s="97" t="s">
        <v>85</v>
      </c>
      <c r="H6" s="97" t="s">
        <v>85</v>
      </c>
      <c r="I6" s="97" t="s">
        <v>85</v>
      </c>
      <c r="J6" s="31">
        <f t="shared" si="0"/>
        <v>28.294279659282388</v>
      </c>
      <c r="K6" s="31">
        <f t="shared" si="1"/>
        <v>23.722707685146773</v>
      </c>
      <c r="L6" s="31">
        <f>IF($D$6=0,"",100*$D6/$D$6)</f>
        <v>100</v>
      </c>
    </row>
    <row r="7" spans="2:13" ht="22.5" outlineLevel="1" x14ac:dyDescent="0.2">
      <c r="B7" s="109" t="s">
        <v>25</v>
      </c>
      <c r="C7" s="32">
        <f>596124597</f>
        <v>596124597</v>
      </c>
      <c r="D7" s="32">
        <f>149255505</f>
        <v>149255505</v>
      </c>
      <c r="E7" s="97" t="s">
        <v>85</v>
      </c>
      <c r="F7" s="97" t="s">
        <v>85</v>
      </c>
      <c r="G7" s="97" t="s">
        <v>85</v>
      </c>
      <c r="H7" s="97" t="s">
        <v>85</v>
      </c>
      <c r="I7" s="97" t="s">
        <v>85</v>
      </c>
      <c r="J7" s="33">
        <f t="shared" si="0"/>
        <v>1.0145343806775653</v>
      </c>
      <c r="K7" s="33">
        <f t="shared" si="1"/>
        <v>25.037635714266628</v>
      </c>
      <c r="L7" s="33">
        <f>IF($D$6=0,"",100*$D7/$D$6)</f>
        <v>3.5856519158448736</v>
      </c>
    </row>
    <row r="8" spans="2:13" ht="22.5" outlineLevel="1" x14ac:dyDescent="0.2">
      <c r="B8" s="109" t="s">
        <v>19</v>
      </c>
      <c r="C8" s="32">
        <f>8007167665</f>
        <v>8007167665</v>
      </c>
      <c r="D8" s="32">
        <f>2002791909</f>
        <v>2002791909</v>
      </c>
      <c r="E8" s="97" t="s">
        <v>85</v>
      </c>
      <c r="F8" s="97" t="s">
        <v>85</v>
      </c>
      <c r="G8" s="97" t="s">
        <v>85</v>
      </c>
      <c r="H8" s="97" t="s">
        <v>85</v>
      </c>
      <c r="I8" s="97" t="s">
        <v>85</v>
      </c>
      <c r="J8" s="33">
        <f t="shared" si="0"/>
        <v>13.613576591519044</v>
      </c>
      <c r="K8" s="33">
        <f t="shared" si="1"/>
        <v>25.012488720004839</v>
      </c>
      <c r="L8" s="33">
        <f>IF($D$6=0,"",100*$D8/$D$6)</f>
        <v>48.114236359620115</v>
      </c>
    </row>
    <row r="9" spans="2:13" ht="12.95" customHeight="1" outlineLevel="1" x14ac:dyDescent="0.2">
      <c r="B9" s="109" t="s">
        <v>20</v>
      </c>
      <c r="C9" s="32">
        <f>536132700.12</f>
        <v>536132700.12</v>
      </c>
      <c r="D9" s="56">
        <f>103104028.77</f>
        <v>103104028.77</v>
      </c>
      <c r="E9" s="97" t="s">
        <v>85</v>
      </c>
      <c r="F9" s="97" t="s">
        <v>85</v>
      </c>
      <c r="G9" s="97" t="s">
        <v>85</v>
      </c>
      <c r="H9" s="97" t="s">
        <v>85</v>
      </c>
      <c r="I9" s="97" t="s">
        <v>85</v>
      </c>
      <c r="J9" s="33">
        <f t="shared" si="0"/>
        <v>0.70082897092160068</v>
      </c>
      <c r="K9" s="33">
        <f t="shared" si="1"/>
        <v>19.231065134979218</v>
      </c>
      <c r="L9" s="33">
        <f>IF($D$6=0,"",100*$D9/$D$6)</f>
        <v>2.4769281259708005</v>
      </c>
    </row>
    <row r="10" spans="2:13" ht="12.95" customHeight="1" outlineLevel="1" x14ac:dyDescent="0.2">
      <c r="B10" s="109" t="s">
        <v>21</v>
      </c>
      <c r="C10" s="32">
        <f>C6-C8-C7-C9</f>
        <v>8407376956.7699995</v>
      </c>
      <c r="D10" s="32">
        <f>D6-D8-D7-D9</f>
        <v>1907425084.5399995</v>
      </c>
      <c r="E10" s="97" t="s">
        <v>85</v>
      </c>
      <c r="F10" s="97" t="s">
        <v>85</v>
      </c>
      <c r="G10" s="97" t="s">
        <v>85</v>
      </c>
      <c r="H10" s="97" t="s">
        <v>85</v>
      </c>
      <c r="I10" s="97" t="s">
        <v>85</v>
      </c>
      <c r="J10" s="33">
        <f t="shared" si="0"/>
        <v>12.965339716164177</v>
      </c>
      <c r="K10" s="33">
        <f t="shared" si="1"/>
        <v>22.687517097756093</v>
      </c>
      <c r="L10" s="33">
        <f>IF($D$6=0,"",100*$D10/$D$6)</f>
        <v>45.823183598564214</v>
      </c>
    </row>
    <row r="11" spans="2:13" ht="26.85" customHeight="1" x14ac:dyDescent="0.2">
      <c r="B11" s="108" t="s">
        <v>91</v>
      </c>
      <c r="C11" s="54">
        <f>C12+C31+C33</f>
        <v>14127801905.059999</v>
      </c>
      <c r="D11" s="54">
        <f>D12+D31+D33</f>
        <v>2495492833.5800004</v>
      </c>
      <c r="E11" s="97" t="s">
        <v>85</v>
      </c>
      <c r="F11" s="97" t="s">
        <v>85</v>
      </c>
      <c r="G11" s="97" t="s">
        <v>85</v>
      </c>
      <c r="H11" s="97" t="s">
        <v>85</v>
      </c>
      <c r="I11" s="97" t="s">
        <v>85</v>
      </c>
      <c r="J11" s="55">
        <f t="shared" si="0"/>
        <v>16.962612376685122</v>
      </c>
      <c r="K11" s="55">
        <f t="shared" si="1"/>
        <v>17.663702041902337</v>
      </c>
      <c r="L11" s="57"/>
    </row>
    <row r="12" spans="2:13" ht="26.85" customHeight="1" outlineLevel="1" x14ac:dyDescent="0.2">
      <c r="B12" s="110" t="s">
        <v>42</v>
      </c>
      <c r="C12" s="54">
        <f>C13+C15+C17+C19+C21+C23+C25+C27+C29</f>
        <v>12751112941.57</v>
      </c>
      <c r="D12" s="54">
        <f>D13+D15+D17+D19+D21+D23+D25+D27+D29</f>
        <v>2323735910.2200003</v>
      </c>
      <c r="E12" s="97" t="s">
        <v>85</v>
      </c>
      <c r="F12" s="97" t="s">
        <v>85</v>
      </c>
      <c r="G12" s="97" t="s">
        <v>85</v>
      </c>
      <c r="H12" s="97" t="s">
        <v>85</v>
      </c>
      <c r="I12" s="97" t="s">
        <v>85</v>
      </c>
      <c r="J12" s="55">
        <f t="shared" si="0"/>
        <v>15.795129114556053</v>
      </c>
      <c r="K12" s="55">
        <f t="shared" si="1"/>
        <v>18.223788941939109</v>
      </c>
      <c r="L12" s="36"/>
    </row>
    <row r="13" spans="2:13" ht="22.5" outlineLevel="1" x14ac:dyDescent="0.2">
      <c r="B13" s="111" t="s">
        <v>9</v>
      </c>
      <c r="C13" s="32">
        <f>3549429363.86</f>
        <v>3549429363.8600001</v>
      </c>
      <c r="D13" s="32">
        <f>1232376413.35</f>
        <v>1232376413.3499999</v>
      </c>
      <c r="E13" s="97" t="s">
        <v>85</v>
      </c>
      <c r="F13" s="97" t="s">
        <v>85</v>
      </c>
      <c r="G13" s="97" t="s">
        <v>85</v>
      </c>
      <c r="H13" s="97" t="s">
        <v>85</v>
      </c>
      <c r="I13" s="97" t="s">
        <v>85</v>
      </c>
      <c r="J13" s="33">
        <f t="shared" si="0"/>
        <v>8.3768316704947079</v>
      </c>
      <c r="K13" s="33">
        <f t="shared" si="1"/>
        <v>34.720409593101245</v>
      </c>
      <c r="L13" s="36"/>
    </row>
    <row r="14" spans="2:13" ht="12.95" customHeight="1" outlineLevel="1" x14ac:dyDescent="0.2">
      <c r="B14" s="114" t="s">
        <v>6</v>
      </c>
      <c r="C14" s="32">
        <f>172557000</f>
        <v>172557000</v>
      </c>
      <c r="D14" s="32">
        <f>5257041.8</f>
        <v>5257041.8</v>
      </c>
      <c r="E14" s="97" t="s">
        <v>85</v>
      </c>
      <c r="F14" s="97" t="s">
        <v>85</v>
      </c>
      <c r="G14" s="97" t="s">
        <v>85</v>
      </c>
      <c r="H14" s="97" t="s">
        <v>85</v>
      </c>
      <c r="I14" s="97" t="s">
        <v>85</v>
      </c>
      <c r="J14" s="33">
        <f t="shared" si="0"/>
        <v>3.5733687992004534E-2</v>
      </c>
      <c r="K14" s="33">
        <f t="shared" si="1"/>
        <v>3.0465537764332944</v>
      </c>
      <c r="L14" s="36"/>
    </row>
    <row r="15" spans="2:13" ht="12.95" customHeight="1" outlineLevel="1" x14ac:dyDescent="0.2">
      <c r="B15" s="111" t="s">
        <v>7</v>
      </c>
      <c r="C15" s="32">
        <f>947581807.47</f>
        <v>947581807.47000003</v>
      </c>
      <c r="D15" s="32">
        <f>178919423.76</f>
        <v>178919423.75999999</v>
      </c>
      <c r="E15" s="97" t="s">
        <v>85</v>
      </c>
      <c r="F15" s="97" t="s">
        <v>85</v>
      </c>
      <c r="G15" s="97" t="s">
        <v>85</v>
      </c>
      <c r="H15" s="97" t="s">
        <v>85</v>
      </c>
      <c r="I15" s="97" t="s">
        <v>85</v>
      </c>
      <c r="J15" s="33">
        <f t="shared" si="0"/>
        <v>1.2161689230527106</v>
      </c>
      <c r="K15" s="33">
        <f t="shared" si="1"/>
        <v>18.881686240653632</v>
      </c>
      <c r="L15" s="36"/>
    </row>
    <row r="16" spans="2:13" ht="12.95" customHeight="1" outlineLevel="1" x14ac:dyDescent="0.2">
      <c r="B16" s="114" t="s">
        <v>6</v>
      </c>
      <c r="C16" s="32">
        <f>263487397.42</f>
        <v>263487397.41999999</v>
      </c>
      <c r="D16" s="32">
        <f>2675288.81</f>
        <v>2675288.81</v>
      </c>
      <c r="E16" s="97" t="s">
        <v>85</v>
      </c>
      <c r="F16" s="97" t="s">
        <v>85</v>
      </c>
      <c r="G16" s="97" t="s">
        <v>85</v>
      </c>
      <c r="H16" s="97" t="s">
        <v>85</v>
      </c>
      <c r="I16" s="97" t="s">
        <v>85</v>
      </c>
      <c r="J16" s="33">
        <f t="shared" si="0"/>
        <v>1.8184739490760965E-2</v>
      </c>
      <c r="K16" s="33">
        <f t="shared" si="1"/>
        <v>1.0153384321966559</v>
      </c>
      <c r="L16" s="36"/>
    </row>
    <row r="17" spans="2:12" ht="33.75" outlineLevel="1" x14ac:dyDescent="0.2">
      <c r="B17" s="111" t="s">
        <v>10</v>
      </c>
      <c r="C17" s="32">
        <f>101115482.09</f>
        <v>101115482.09</v>
      </c>
      <c r="D17" s="32">
        <f>14865655.92</f>
        <v>14865655.92</v>
      </c>
      <c r="E17" s="97" t="s">
        <v>85</v>
      </c>
      <c r="F17" s="97" t="s">
        <v>85</v>
      </c>
      <c r="G17" s="97" t="s">
        <v>85</v>
      </c>
      <c r="H17" s="97" t="s">
        <v>85</v>
      </c>
      <c r="I17" s="97" t="s">
        <v>85</v>
      </c>
      <c r="J17" s="33">
        <f t="shared" si="0"/>
        <v>0.1010463166645879</v>
      </c>
      <c r="K17" s="33">
        <f t="shared" si="1"/>
        <v>14.701661518825084</v>
      </c>
      <c r="L17" s="36"/>
    </row>
    <row r="18" spans="2:12" ht="12.95" customHeight="1" outlineLevel="1" x14ac:dyDescent="0.2">
      <c r="B18" s="114" t="s">
        <v>6</v>
      </c>
      <c r="C18" s="32">
        <f>6945212</f>
        <v>6945212</v>
      </c>
      <c r="D18" s="32">
        <f>150000</f>
        <v>150000</v>
      </c>
      <c r="E18" s="97" t="s">
        <v>85</v>
      </c>
      <c r="F18" s="97" t="s">
        <v>85</v>
      </c>
      <c r="G18" s="97" t="s">
        <v>85</v>
      </c>
      <c r="H18" s="97" t="s">
        <v>85</v>
      </c>
      <c r="I18" s="97" t="s">
        <v>85</v>
      </c>
      <c r="J18" s="33">
        <f t="shared" si="0"/>
        <v>1.0195949362245284E-3</v>
      </c>
      <c r="K18" s="33">
        <f t="shared" si="1"/>
        <v>2.1597612859045916</v>
      </c>
      <c r="L18" s="36"/>
    </row>
    <row r="19" spans="2:12" ht="25.5" customHeight="1" outlineLevel="1" x14ac:dyDescent="0.2">
      <c r="B19" s="111" t="s">
        <v>11</v>
      </c>
      <c r="C19" s="32">
        <f>488740187.88</f>
        <v>488740187.88</v>
      </c>
      <c r="D19" s="32">
        <f>102205950.67</f>
        <v>102205950.67</v>
      </c>
      <c r="E19" s="97" t="s">
        <v>85</v>
      </c>
      <c r="F19" s="97" t="s">
        <v>85</v>
      </c>
      <c r="G19" s="97" t="s">
        <v>85</v>
      </c>
      <c r="H19" s="97" t="s">
        <v>85</v>
      </c>
      <c r="I19" s="97" t="s">
        <v>85</v>
      </c>
      <c r="J19" s="33">
        <f t="shared" si="0"/>
        <v>0.6947244650343064</v>
      </c>
      <c r="K19" s="33">
        <f t="shared" si="1"/>
        <v>20.912123292610133</v>
      </c>
      <c r="L19" s="36"/>
    </row>
    <row r="20" spans="2:12" ht="12.95" customHeight="1" outlineLevel="1" x14ac:dyDescent="0.2">
      <c r="B20" s="114" t="s">
        <v>6</v>
      </c>
      <c r="C20" s="32">
        <f>105845718.92</f>
        <v>105845718.92</v>
      </c>
      <c r="D20" s="32">
        <f>5922677</f>
        <v>5922677</v>
      </c>
      <c r="E20" s="97" t="s">
        <v>85</v>
      </c>
      <c r="F20" s="97" t="s">
        <v>85</v>
      </c>
      <c r="G20" s="97" t="s">
        <v>85</v>
      </c>
      <c r="H20" s="97" t="s">
        <v>85</v>
      </c>
      <c r="I20" s="97" t="s">
        <v>85</v>
      </c>
      <c r="J20" s="33">
        <f t="shared" si="0"/>
        <v>4.0258209853956547E-2</v>
      </c>
      <c r="K20" s="33">
        <f t="shared" si="1"/>
        <v>5.5955753907028214</v>
      </c>
      <c r="L20" s="36"/>
    </row>
    <row r="21" spans="2:12" ht="35.25" customHeight="1" outlineLevel="1" x14ac:dyDescent="0.2">
      <c r="B21" s="111" t="s">
        <v>60</v>
      </c>
      <c r="C21" s="32">
        <f>923858317.24</f>
        <v>923858317.24000001</v>
      </c>
      <c r="D21" s="32">
        <f>94987128.81</f>
        <v>94987128.810000002</v>
      </c>
      <c r="E21" s="97" t="s">
        <v>85</v>
      </c>
      <c r="F21" s="97" t="s">
        <v>85</v>
      </c>
      <c r="G21" s="97" t="s">
        <v>85</v>
      </c>
      <c r="H21" s="97" t="s">
        <v>85</v>
      </c>
      <c r="I21" s="97" t="s">
        <v>85</v>
      </c>
      <c r="J21" s="33">
        <f t="shared" si="0"/>
        <v>0.64565597027455346</v>
      </c>
      <c r="K21" s="33">
        <f t="shared" si="1"/>
        <v>10.281568833386844</v>
      </c>
      <c r="L21" s="36"/>
    </row>
    <row r="22" spans="2:12" ht="12.95" customHeight="1" outlineLevel="1" x14ac:dyDescent="0.2">
      <c r="B22" s="114" t="s">
        <v>6</v>
      </c>
      <c r="C22" s="32">
        <f>749690292.25</f>
        <v>749690292.25</v>
      </c>
      <c r="D22" s="32">
        <f>51661512.72</f>
        <v>51661512.719999999</v>
      </c>
      <c r="E22" s="97" t="s">
        <v>85</v>
      </c>
      <c r="F22" s="97" t="s">
        <v>85</v>
      </c>
      <c r="G22" s="97" t="s">
        <v>85</v>
      </c>
      <c r="H22" s="97" t="s">
        <v>85</v>
      </c>
      <c r="I22" s="97" t="s">
        <v>85</v>
      </c>
      <c r="J22" s="33">
        <f t="shared" si="0"/>
        <v>0.35115877844674043</v>
      </c>
      <c r="K22" s="33">
        <f t="shared" si="1"/>
        <v>6.8910473103435068</v>
      </c>
      <c r="L22" s="36"/>
    </row>
    <row r="23" spans="2:12" ht="12.95" customHeight="1" outlineLevel="1" x14ac:dyDescent="0.2">
      <c r="B23" s="111" t="s">
        <v>8</v>
      </c>
      <c r="C23" s="32">
        <f>86009365.03</f>
        <v>86009365.030000001</v>
      </c>
      <c r="D23" s="32">
        <f>18576450.16</f>
        <v>18576450.16</v>
      </c>
      <c r="E23" s="97" t="s">
        <v>85</v>
      </c>
      <c r="F23" s="97" t="s">
        <v>85</v>
      </c>
      <c r="G23" s="97" t="s">
        <v>85</v>
      </c>
      <c r="H23" s="97" t="s">
        <v>85</v>
      </c>
      <c r="I23" s="97" t="s">
        <v>85</v>
      </c>
      <c r="J23" s="33">
        <f t="shared" si="0"/>
        <v>0.12626969677442221</v>
      </c>
      <c r="K23" s="33">
        <f t="shared" si="1"/>
        <v>21.598171493907145</v>
      </c>
      <c r="L23" s="36"/>
    </row>
    <row r="24" spans="2:12" ht="12.95" customHeight="1" outlineLevel="1" x14ac:dyDescent="0.2">
      <c r="B24" s="114" t="s">
        <v>6</v>
      </c>
      <c r="C24" s="32">
        <f>67459565.1</f>
        <v>67459565.099999994</v>
      </c>
      <c r="D24" s="32">
        <f>10493429.96</f>
        <v>10493429.960000001</v>
      </c>
      <c r="E24" s="97" t="s">
        <v>85</v>
      </c>
      <c r="F24" s="97" t="s">
        <v>85</v>
      </c>
      <c r="G24" s="97" t="s">
        <v>85</v>
      </c>
      <c r="H24" s="97" t="s">
        <v>85</v>
      </c>
      <c r="I24" s="97" t="s">
        <v>85</v>
      </c>
      <c r="J24" s="33">
        <f t="shared" si="0"/>
        <v>7.1326987005618389E-2</v>
      </c>
      <c r="K24" s="33">
        <f t="shared" si="1"/>
        <v>15.555140245041398</v>
      </c>
      <c r="L24" s="36"/>
    </row>
    <row r="25" spans="2:12" ht="67.5" outlineLevel="1" x14ac:dyDescent="0.2">
      <c r="B25" s="111" t="s">
        <v>76</v>
      </c>
      <c r="C25" s="32">
        <f>37775</f>
        <v>37775</v>
      </c>
      <c r="D25" s="32">
        <f>0</f>
        <v>0</v>
      </c>
      <c r="E25" s="97" t="s">
        <v>85</v>
      </c>
      <c r="F25" s="97" t="s">
        <v>85</v>
      </c>
      <c r="G25" s="97" t="s">
        <v>85</v>
      </c>
      <c r="H25" s="97" t="s">
        <v>85</v>
      </c>
      <c r="I25" s="97" t="s">
        <v>85</v>
      </c>
      <c r="J25" s="33">
        <f t="shared" si="0"/>
        <v>0</v>
      </c>
      <c r="K25" s="33">
        <f t="shared" si="1"/>
        <v>0</v>
      </c>
      <c r="L25" s="36"/>
    </row>
    <row r="26" spans="2:12" ht="12.95" customHeight="1" outlineLevel="1" x14ac:dyDescent="0.2">
      <c r="B26" s="114" t="s">
        <v>77</v>
      </c>
      <c r="C26" s="32">
        <f>18000</f>
        <v>18000</v>
      </c>
      <c r="D26" s="32">
        <f>0</f>
        <v>0</v>
      </c>
      <c r="E26" s="97" t="s">
        <v>85</v>
      </c>
      <c r="F26" s="97" t="s">
        <v>85</v>
      </c>
      <c r="G26" s="97" t="s">
        <v>85</v>
      </c>
      <c r="H26" s="97" t="s">
        <v>85</v>
      </c>
      <c r="I26" s="97" t="s">
        <v>85</v>
      </c>
      <c r="J26" s="33">
        <f t="shared" si="0"/>
        <v>0</v>
      </c>
      <c r="K26" s="33">
        <f t="shared" si="1"/>
        <v>0</v>
      </c>
      <c r="L26" s="36"/>
    </row>
    <row r="27" spans="2:12" ht="45" outlineLevel="1" x14ac:dyDescent="0.2">
      <c r="B27" s="112" t="s">
        <v>75</v>
      </c>
      <c r="C27" s="69">
        <f>6377243916.36</f>
        <v>6377243916.3599997</v>
      </c>
      <c r="D27" s="69">
        <f>488437007.28</f>
        <v>488437007.27999997</v>
      </c>
      <c r="E27" s="97" t="s">
        <v>85</v>
      </c>
      <c r="F27" s="97" t="s">
        <v>85</v>
      </c>
      <c r="G27" s="97" t="s">
        <v>85</v>
      </c>
      <c r="H27" s="97" t="s">
        <v>85</v>
      </c>
      <c r="I27" s="97" t="s">
        <v>85</v>
      </c>
      <c r="J27" s="70">
        <f t="shared" si="0"/>
        <v>3.3200526619156743</v>
      </c>
      <c r="K27" s="70">
        <f t="shared" si="1"/>
        <v>7.6590610879251084</v>
      </c>
      <c r="L27" s="36"/>
    </row>
    <row r="28" spans="2:12" ht="12.95" customHeight="1" outlineLevel="1" x14ac:dyDescent="0.2">
      <c r="B28" s="114" t="s">
        <v>6</v>
      </c>
      <c r="C28" s="32">
        <f>6345170168.67</f>
        <v>6345170168.6700001</v>
      </c>
      <c r="D28" s="32">
        <f>487827063.12</f>
        <v>487827063.12</v>
      </c>
      <c r="E28" s="97" t="s">
        <v>85</v>
      </c>
      <c r="F28" s="97" t="s">
        <v>85</v>
      </c>
      <c r="G28" s="97" t="s">
        <v>85</v>
      </c>
      <c r="H28" s="97" t="s">
        <v>85</v>
      </c>
      <c r="I28" s="97" t="s">
        <v>85</v>
      </c>
      <c r="J28" s="33">
        <f t="shared" si="0"/>
        <v>3.3159066887362361</v>
      </c>
      <c r="K28" s="33">
        <f t="shared" si="1"/>
        <v>7.6881635977030474</v>
      </c>
      <c r="L28" s="36"/>
    </row>
    <row r="29" spans="2:12" ht="22.5" outlineLevel="1" x14ac:dyDescent="0.2">
      <c r="B29" s="112" t="s">
        <v>94</v>
      </c>
      <c r="C29" s="32">
        <f>277096726.64</f>
        <v>277096726.63999999</v>
      </c>
      <c r="D29" s="32">
        <f>193367880.27</f>
        <v>193367880.27000001</v>
      </c>
      <c r="E29" s="97" t="s">
        <v>85</v>
      </c>
      <c r="F29" s="97" t="s">
        <v>85</v>
      </c>
      <c r="G29" s="97" t="s">
        <v>85</v>
      </c>
      <c r="H29" s="97" t="s">
        <v>85</v>
      </c>
      <c r="I29" s="97" t="s">
        <v>85</v>
      </c>
      <c r="J29" s="33">
        <f t="shared" si="0"/>
        <v>1.3143794103450861</v>
      </c>
      <c r="K29" s="33">
        <f t="shared" si="1"/>
        <v>69.783531048788149</v>
      </c>
      <c r="L29" s="36"/>
    </row>
    <row r="30" spans="2:12" ht="12.95" customHeight="1" outlineLevel="1" x14ac:dyDescent="0.2">
      <c r="B30" s="114" t="s">
        <v>6</v>
      </c>
      <c r="C30" s="32">
        <f>0</f>
        <v>0</v>
      </c>
      <c r="D30" s="32">
        <f>0</f>
        <v>0</v>
      </c>
      <c r="E30" s="97" t="s">
        <v>85</v>
      </c>
      <c r="F30" s="97" t="s">
        <v>85</v>
      </c>
      <c r="G30" s="97" t="s">
        <v>85</v>
      </c>
      <c r="H30" s="97" t="s">
        <v>85</v>
      </c>
      <c r="I30" s="97" t="s">
        <v>85</v>
      </c>
      <c r="J30" s="33">
        <f t="shared" si="0"/>
        <v>0</v>
      </c>
      <c r="K30" s="33" t="str">
        <f t="shared" si="1"/>
        <v/>
      </c>
      <c r="L30" s="36"/>
    </row>
    <row r="31" spans="2:12" ht="12.95" customHeight="1" outlineLevel="1" x14ac:dyDescent="0.2">
      <c r="B31" s="113" t="s">
        <v>67</v>
      </c>
      <c r="C31" s="30">
        <f>80942002.08</f>
        <v>80942002.079999998</v>
      </c>
      <c r="D31" s="30">
        <f>22618991.32</f>
        <v>22618991.32</v>
      </c>
      <c r="E31" s="97" t="s">
        <v>85</v>
      </c>
      <c r="F31" s="97" t="s">
        <v>85</v>
      </c>
      <c r="G31" s="97" t="s">
        <v>85</v>
      </c>
      <c r="H31" s="97" t="s">
        <v>85</v>
      </c>
      <c r="I31" s="97" t="s">
        <v>85</v>
      </c>
      <c r="J31" s="34">
        <f t="shared" si="0"/>
        <v>0.15374806008252376</v>
      </c>
      <c r="K31" s="34">
        <f t="shared" si="1"/>
        <v>27.944689702194726</v>
      </c>
      <c r="L31" s="21"/>
    </row>
    <row r="32" spans="2:12" ht="12.95" customHeight="1" outlineLevel="1" x14ac:dyDescent="0.2">
      <c r="B32" s="115" t="s">
        <v>53</v>
      </c>
      <c r="C32" s="35">
        <f>38672955.3</f>
        <v>38672955.299999997</v>
      </c>
      <c r="D32" s="35">
        <f>5984727.08</f>
        <v>5984727.0800000001</v>
      </c>
      <c r="E32" s="97" t="s">
        <v>85</v>
      </c>
      <c r="F32" s="97" t="s">
        <v>85</v>
      </c>
      <c r="G32" s="97" t="s">
        <v>85</v>
      </c>
      <c r="H32" s="97" t="s">
        <v>85</v>
      </c>
      <c r="I32" s="97" t="s">
        <v>85</v>
      </c>
      <c r="J32" s="33">
        <f t="shared" si="0"/>
        <v>4.0679982836358722E-2</v>
      </c>
      <c r="K32" s="33">
        <f t="shared" si="1"/>
        <v>15.475225602942221</v>
      </c>
      <c r="L32" s="21"/>
    </row>
    <row r="33" spans="1:26" ht="12.95" customHeight="1" outlineLevel="1" x14ac:dyDescent="0.2">
      <c r="B33" s="113" t="s">
        <v>68</v>
      </c>
      <c r="C33" s="58">
        <f>1295746961.41</f>
        <v>1295746961.4100001</v>
      </c>
      <c r="D33" s="58">
        <f>149137932.04</f>
        <v>149137932.03999999</v>
      </c>
      <c r="E33" s="97" t="s">
        <v>85</v>
      </c>
      <c r="F33" s="97" t="s">
        <v>85</v>
      </c>
      <c r="G33" s="97" t="s">
        <v>85</v>
      </c>
      <c r="H33" s="97" t="s">
        <v>85</v>
      </c>
      <c r="I33" s="97" t="s">
        <v>85</v>
      </c>
      <c r="J33" s="59">
        <f t="shared" si="0"/>
        <v>1.0137352020465458</v>
      </c>
      <c r="K33" s="59">
        <f t="shared" si="1"/>
        <v>11.509803725699017</v>
      </c>
      <c r="L33" s="21"/>
    </row>
    <row r="34" spans="1:26" ht="12.95" customHeight="1" outlineLevel="1" x14ac:dyDescent="0.2">
      <c r="B34" s="115" t="s">
        <v>65</v>
      </c>
      <c r="C34" s="35">
        <f>1030210347.31</f>
        <v>1030210347.3099999</v>
      </c>
      <c r="D34" s="35">
        <f>57685867.3</f>
        <v>57685867.299999997</v>
      </c>
      <c r="E34" s="97" t="s">
        <v>85</v>
      </c>
      <c r="F34" s="97" t="s">
        <v>85</v>
      </c>
      <c r="G34" s="97" t="s">
        <v>85</v>
      </c>
      <c r="H34" s="97" t="s">
        <v>85</v>
      </c>
      <c r="I34" s="97" t="s">
        <v>85</v>
      </c>
      <c r="J34" s="33">
        <f t="shared" si="0"/>
        <v>0.39210812127200073</v>
      </c>
      <c r="K34" s="33">
        <f t="shared" si="1"/>
        <v>5.5994261221142425</v>
      </c>
      <c r="L34" s="21"/>
    </row>
    <row r="35" spans="1:26" s="5" customFormat="1" ht="26.85" customHeight="1" x14ac:dyDescent="0.2">
      <c r="B35" s="107" t="s">
        <v>43</v>
      </c>
      <c r="C35" s="30">
        <f>C36+C37+C38+C39+C40</f>
        <v>22839924068.330002</v>
      </c>
      <c r="D35" s="30">
        <f>D36+D37+D38+D39+D40</f>
        <v>8053655332</v>
      </c>
      <c r="E35" s="97" t="s">
        <v>85</v>
      </c>
      <c r="F35" s="97" t="s">
        <v>85</v>
      </c>
      <c r="G35" s="97" t="s">
        <v>85</v>
      </c>
      <c r="H35" s="97" t="s">
        <v>85</v>
      </c>
      <c r="I35" s="97" t="s">
        <v>85</v>
      </c>
      <c r="J35" s="31">
        <f t="shared" si="0"/>
        <v>54.74310796403249</v>
      </c>
      <c r="K35" s="31">
        <f t="shared" si="1"/>
        <v>35.261305194824423</v>
      </c>
      <c r="L35" s="22"/>
    </row>
    <row r="36" spans="1:26" ht="12.95" customHeight="1" outlineLevel="1" x14ac:dyDescent="0.2">
      <c r="B36" s="109" t="s">
        <v>30</v>
      </c>
      <c r="C36" s="32">
        <f>16997073913</f>
        <v>16997073913</v>
      </c>
      <c r="D36" s="32">
        <f>6593800540</f>
        <v>6593800540</v>
      </c>
      <c r="E36" s="97" t="s">
        <v>85</v>
      </c>
      <c r="F36" s="97" t="s">
        <v>85</v>
      </c>
      <c r="G36" s="97" t="s">
        <v>85</v>
      </c>
      <c r="H36" s="97" t="s">
        <v>85</v>
      </c>
      <c r="I36" s="97" t="s">
        <v>85</v>
      </c>
      <c r="J36" s="33">
        <f t="shared" si="0"/>
        <v>44.820037607057074</v>
      </c>
      <c r="K36" s="33">
        <f t="shared" si="1"/>
        <v>38.793739285659129</v>
      </c>
      <c r="L36" s="21"/>
    </row>
    <row r="37" spans="1:26" ht="12.95" customHeight="1" outlineLevel="1" x14ac:dyDescent="0.2">
      <c r="B37" s="109" t="s">
        <v>29</v>
      </c>
      <c r="C37" s="32">
        <f>1132545512</f>
        <v>1132545512</v>
      </c>
      <c r="D37" s="32">
        <f>283142742</f>
        <v>283142742</v>
      </c>
      <c r="E37" s="97" t="s">
        <v>85</v>
      </c>
      <c r="F37" s="97" t="s">
        <v>85</v>
      </c>
      <c r="G37" s="97" t="s">
        <v>85</v>
      </c>
      <c r="H37" s="97" t="s">
        <v>85</v>
      </c>
      <c r="I37" s="97" t="s">
        <v>85</v>
      </c>
      <c r="J37" s="33">
        <f t="shared" si="0"/>
        <v>1.9246060398128542</v>
      </c>
      <c r="K37" s="33">
        <f t="shared" si="1"/>
        <v>25.000561920022868</v>
      </c>
      <c r="L37" s="21"/>
    </row>
    <row r="38" spans="1:26" ht="12.95" customHeight="1" outlineLevel="1" x14ac:dyDescent="0.2">
      <c r="B38" s="109" t="s">
        <v>31</v>
      </c>
      <c r="C38" s="32">
        <f>4272685131</f>
        <v>4272685131</v>
      </c>
      <c r="D38" s="32">
        <f>1068180300</f>
        <v>1068180300</v>
      </c>
      <c r="E38" s="97" t="s">
        <v>85</v>
      </c>
      <c r="F38" s="97" t="s">
        <v>85</v>
      </c>
      <c r="G38" s="97" t="s">
        <v>85</v>
      </c>
      <c r="H38" s="97" t="s">
        <v>85</v>
      </c>
      <c r="I38" s="97" t="s">
        <v>85</v>
      </c>
      <c r="J38" s="33">
        <f t="shared" si="0"/>
        <v>7.260741499031985</v>
      </c>
      <c r="K38" s="33">
        <f t="shared" si="1"/>
        <v>25.000211044102794</v>
      </c>
      <c r="L38" s="21"/>
    </row>
    <row r="39" spans="1:26" ht="12.95" customHeight="1" outlineLevel="1" x14ac:dyDescent="0.2">
      <c r="B39" s="109" t="s">
        <v>104</v>
      </c>
      <c r="C39" s="32">
        <f>388314469.33</f>
        <v>388314469.32999998</v>
      </c>
      <c r="D39" s="32">
        <f>108531750</f>
        <v>108531750</v>
      </c>
      <c r="E39" s="97" t="s">
        <v>85</v>
      </c>
      <c r="F39" s="97" t="s">
        <v>85</v>
      </c>
      <c r="G39" s="97" t="s">
        <v>85</v>
      </c>
      <c r="H39" s="97" t="s">
        <v>85</v>
      </c>
      <c r="I39" s="97" t="s">
        <v>85</v>
      </c>
      <c r="J39" s="33">
        <f t="shared" si="0"/>
        <v>0.7377228181305765</v>
      </c>
      <c r="K39" s="33">
        <f>IF(C39=0,"",100*D39/C39)</f>
        <v>27.9494478244041</v>
      </c>
      <c r="L39" s="21"/>
    </row>
    <row r="40" spans="1:26" s="5" customFormat="1" ht="12.95" customHeight="1" outlineLevel="1" x14ac:dyDescent="0.2">
      <c r="B40" s="109" t="s">
        <v>28</v>
      </c>
      <c r="C40" s="32">
        <f>49305043</f>
        <v>49305043</v>
      </c>
      <c r="D40" s="32">
        <f>0</f>
        <v>0</v>
      </c>
      <c r="E40" s="97" t="s">
        <v>85</v>
      </c>
      <c r="F40" s="97" t="s">
        <v>85</v>
      </c>
      <c r="G40" s="97" t="s">
        <v>85</v>
      </c>
      <c r="H40" s="97" t="s">
        <v>85</v>
      </c>
      <c r="I40" s="97" t="s">
        <v>85</v>
      </c>
      <c r="J40" s="33">
        <f t="shared" si="0"/>
        <v>0</v>
      </c>
      <c r="K40" s="33">
        <f>IF(C40=0,"",100*D40/C40)</f>
        <v>0</v>
      </c>
      <c r="L40" s="22"/>
    </row>
    <row r="41" spans="1:26" s="5" customFormat="1" ht="12.95" customHeight="1" x14ac:dyDescent="0.2">
      <c r="B41" s="106" t="s">
        <v>5</v>
      </c>
      <c r="C41" s="58">
        <f>+C5</f>
        <v>54514527892.279999</v>
      </c>
      <c r="D41" s="58">
        <f>+D5</f>
        <v>14711724692.889999</v>
      </c>
      <c r="E41" s="97" t="s">
        <v>85</v>
      </c>
      <c r="F41" s="97" t="s">
        <v>85</v>
      </c>
      <c r="G41" s="97" t="s">
        <v>85</v>
      </c>
      <c r="H41" s="97" t="s">
        <v>85</v>
      </c>
      <c r="I41" s="97" t="s">
        <v>85</v>
      </c>
      <c r="J41" s="59">
        <f>IF($D$5=0,"",100*$D41/$D$41)</f>
        <v>100</v>
      </c>
      <c r="K41" s="59">
        <f t="shared" si="1"/>
        <v>26.986796477372376</v>
      </c>
    </row>
    <row r="42" spans="1:26" s="5" customFormat="1" ht="12.95" customHeight="1" x14ac:dyDescent="0.2">
      <c r="B42" s="116" t="s">
        <v>55</v>
      </c>
      <c r="C42" s="32">
        <f>11352665399.73</f>
        <v>11352665399.73</v>
      </c>
      <c r="D42" s="32">
        <f>867876973.21</f>
        <v>867876973.21000004</v>
      </c>
      <c r="E42" s="97" t="s">
        <v>85</v>
      </c>
      <c r="F42" s="97" t="s">
        <v>85</v>
      </c>
      <c r="G42" s="97" t="s">
        <v>85</v>
      </c>
      <c r="H42" s="97" t="s">
        <v>85</v>
      </c>
      <c r="I42" s="97" t="s">
        <v>85</v>
      </c>
      <c r="J42" s="33">
        <f>IF($D$5=0,"",100*$D42/$D$41)</f>
        <v>5.8992197810052449</v>
      </c>
      <c r="K42" s="33">
        <f t="shared" si="1"/>
        <v>7.6446978982630878</v>
      </c>
    </row>
    <row r="43" spans="1:26" s="5" customFormat="1" ht="12.95" customHeight="1" x14ac:dyDescent="0.2">
      <c r="A43" s="2"/>
      <c r="B43" s="116" t="s">
        <v>56</v>
      </c>
      <c r="C43" s="32">
        <f>C41-C42</f>
        <v>43161862492.550003</v>
      </c>
      <c r="D43" s="32">
        <f>D41-D42</f>
        <v>13843847719.68</v>
      </c>
      <c r="E43" s="97" t="s">
        <v>85</v>
      </c>
      <c r="F43" s="97" t="s">
        <v>85</v>
      </c>
      <c r="G43" s="97" t="s">
        <v>85</v>
      </c>
      <c r="H43" s="97" t="s">
        <v>85</v>
      </c>
      <c r="I43" s="97" t="s">
        <v>85</v>
      </c>
      <c r="J43" s="33">
        <f>IF($D$5=0,"",100*$D43/$D$41)</f>
        <v>94.100780218994757</v>
      </c>
      <c r="K43" s="33">
        <f t="shared" si="1"/>
        <v>32.074259358176519</v>
      </c>
      <c r="M43" s="15"/>
      <c r="N43" s="15"/>
      <c r="O43" s="9"/>
      <c r="P43" s="9"/>
      <c r="Q43" s="3"/>
    </row>
    <row r="44" spans="1:26" s="5" customFormat="1" ht="12.95" customHeight="1" x14ac:dyDescent="0.2">
      <c r="A44" s="2"/>
      <c r="B44" s="128" t="s">
        <v>95</v>
      </c>
      <c r="C44" s="76"/>
      <c r="D44" s="76"/>
      <c r="E44" s="127"/>
      <c r="F44" s="127"/>
      <c r="G44" s="127"/>
      <c r="H44" s="127"/>
      <c r="I44" s="127"/>
      <c r="J44" s="57"/>
      <c r="K44" s="57"/>
      <c r="M44" s="15"/>
      <c r="N44" s="15"/>
      <c r="O44" s="9"/>
      <c r="P44" s="9"/>
      <c r="Q44" s="3"/>
    </row>
    <row r="45" spans="1:26" ht="20.100000000000001" customHeight="1" x14ac:dyDescent="0.2">
      <c r="B45" s="117" t="str">
        <f>CONCATENATE("Informacja z wykonania budżetów powiatów za ",$D$104," ",$C$105," rok     ",$C$107,"")</f>
        <v xml:space="preserve">Informacja z wykonania budżetów powiatów za I Kwartał 2024 rok     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</row>
    <row r="46" spans="1:26" s="5" customFormat="1" ht="9" customHeight="1" x14ac:dyDescent="0.2">
      <c r="B46" s="6"/>
      <c r="C46" s="7"/>
      <c r="D46" s="8"/>
      <c r="E46" s="8"/>
      <c r="F46" s="4"/>
      <c r="G46" s="4"/>
      <c r="H46" s="4"/>
      <c r="I46" s="4"/>
      <c r="J46" s="4"/>
      <c r="K46" s="9"/>
      <c r="L46" s="9"/>
      <c r="M46" s="3"/>
    </row>
    <row r="47" spans="1:26" ht="29.25" customHeight="1" x14ac:dyDescent="0.2">
      <c r="B47" s="139" t="s">
        <v>0</v>
      </c>
      <c r="C47" s="140" t="s">
        <v>37</v>
      </c>
      <c r="D47" s="140" t="s">
        <v>39</v>
      </c>
      <c r="E47" s="140" t="s">
        <v>38</v>
      </c>
      <c r="F47" s="140" t="s">
        <v>12</v>
      </c>
      <c r="G47" s="140"/>
      <c r="H47" s="140"/>
      <c r="I47" s="141" t="s">
        <v>66</v>
      </c>
      <c r="J47" s="140" t="s">
        <v>2</v>
      </c>
      <c r="K47" s="162" t="s">
        <v>18</v>
      </c>
      <c r="M47" s="10"/>
      <c r="N47" s="73"/>
      <c r="O47" s="77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8" customHeight="1" x14ac:dyDescent="0.2">
      <c r="B48" s="139"/>
      <c r="C48" s="140"/>
      <c r="D48" s="140"/>
      <c r="E48" s="156"/>
      <c r="F48" s="157" t="s">
        <v>40</v>
      </c>
      <c r="G48" s="155" t="s">
        <v>24</v>
      </c>
      <c r="H48" s="156"/>
      <c r="I48" s="142"/>
      <c r="J48" s="140"/>
      <c r="K48" s="162"/>
      <c r="L48" s="11"/>
      <c r="M48" s="12"/>
      <c r="N48" s="74"/>
      <c r="O48" s="78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57" customHeight="1" x14ac:dyDescent="0.2">
      <c r="B49" s="139"/>
      <c r="C49" s="140"/>
      <c r="D49" s="140"/>
      <c r="E49" s="156"/>
      <c r="F49" s="156"/>
      <c r="G49" s="17" t="s">
        <v>35</v>
      </c>
      <c r="H49" s="17" t="s">
        <v>36</v>
      </c>
      <c r="I49" s="143"/>
      <c r="J49" s="140"/>
      <c r="K49" s="162"/>
      <c r="L49" s="11"/>
      <c r="M49" s="10"/>
      <c r="N49" s="74"/>
      <c r="O49" s="76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3.5" customHeight="1" x14ac:dyDescent="0.2">
      <c r="B50" s="139"/>
      <c r="C50" s="130" t="s">
        <v>59</v>
      </c>
      <c r="D50" s="131"/>
      <c r="E50" s="131"/>
      <c r="F50" s="131"/>
      <c r="G50" s="131"/>
      <c r="H50" s="131"/>
      <c r="I50" s="132"/>
      <c r="J50" s="163" t="s">
        <v>4</v>
      </c>
      <c r="K50" s="163"/>
      <c r="N50" s="10"/>
      <c r="O50" s="78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1.25" customHeight="1" x14ac:dyDescent="0.2">
      <c r="B51" s="16">
        <v>1</v>
      </c>
      <c r="C51" s="18">
        <v>2</v>
      </c>
      <c r="D51" s="18">
        <v>3</v>
      </c>
      <c r="E51" s="18">
        <v>4</v>
      </c>
      <c r="F51" s="16">
        <v>5</v>
      </c>
      <c r="G51" s="16">
        <v>6</v>
      </c>
      <c r="H51" s="18">
        <v>7</v>
      </c>
      <c r="I51" s="18">
        <v>8</v>
      </c>
      <c r="J51" s="16">
        <v>9</v>
      </c>
      <c r="K51" s="18">
        <v>10</v>
      </c>
      <c r="M51" s="10"/>
      <c r="N51" s="10"/>
      <c r="O51" s="76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26.85" customHeight="1" x14ac:dyDescent="0.2">
      <c r="B52" s="103" t="s">
        <v>44</v>
      </c>
      <c r="C52" s="60">
        <f>58294807436.2</f>
        <v>58294807436.199997</v>
      </c>
      <c r="D52" s="72">
        <f>11264057577.74</f>
        <v>11264057577.74</v>
      </c>
      <c r="E52" s="72">
        <f>36714665252.72</f>
        <v>36714665252.720001</v>
      </c>
      <c r="F52" s="60">
        <f>1350276621.19</f>
        <v>1350276621.1900001</v>
      </c>
      <c r="G52" s="60">
        <f>7972528.82</f>
        <v>7972528.8200000003</v>
      </c>
      <c r="H52" s="60">
        <f>213999.17</f>
        <v>213999.17</v>
      </c>
      <c r="I52" s="80">
        <f>0</f>
        <v>0</v>
      </c>
      <c r="J52" s="50">
        <f>IF($D$52=0,"",100*$D52/$D$52)</f>
        <v>100</v>
      </c>
      <c r="K52" s="50">
        <f>IF(C52=0,"",100*D52/C52)</f>
        <v>19.322574467833697</v>
      </c>
      <c r="O52" s="75"/>
    </row>
    <row r="53" spans="2:26" ht="12.95" customHeight="1" x14ac:dyDescent="0.2">
      <c r="B53" s="19" t="s">
        <v>14</v>
      </c>
      <c r="C53" s="38">
        <f>15808269701.63</f>
        <v>15808269701.629999</v>
      </c>
      <c r="D53" s="38">
        <f>907320215.17</f>
        <v>907320215.16999996</v>
      </c>
      <c r="E53" s="38">
        <f>6943312734.16</f>
        <v>6943312734.1599998</v>
      </c>
      <c r="F53" s="38">
        <f>244645406.08</f>
        <v>244645406.08000001</v>
      </c>
      <c r="G53" s="38">
        <f>5286.99</f>
        <v>5286.99</v>
      </c>
      <c r="H53" s="38">
        <f>15248.9</f>
        <v>15248.9</v>
      </c>
      <c r="I53" s="81">
        <f>0</f>
        <v>0</v>
      </c>
      <c r="J53" s="50">
        <f t="shared" ref="J53:J61" si="2">IF($D$52=0,"",100*$D53/$D$52)</f>
        <v>8.0550033494417121</v>
      </c>
      <c r="K53" s="50">
        <f t="shared" ref="K53:K61" si="3">IF(C53=0,"",100*D53/C53)</f>
        <v>5.7395289446285558</v>
      </c>
      <c r="O53" s="76"/>
    </row>
    <row r="54" spans="2:26" ht="12.95" customHeight="1" outlineLevel="1" x14ac:dyDescent="0.2">
      <c r="B54" s="20" t="s">
        <v>13</v>
      </c>
      <c r="C54" s="35">
        <f>15768095951.63</f>
        <v>15768095951.629999</v>
      </c>
      <c r="D54" s="35">
        <f>892352415.17</f>
        <v>892352415.16999996</v>
      </c>
      <c r="E54" s="35">
        <f>6927894934.16</f>
        <v>6927894934.1599998</v>
      </c>
      <c r="F54" s="35">
        <f>244645406.08</f>
        <v>244645406.08000001</v>
      </c>
      <c r="G54" s="35">
        <f>5286.99</f>
        <v>5286.99</v>
      </c>
      <c r="H54" s="35">
        <f>15248.9</f>
        <v>15248.9</v>
      </c>
      <c r="I54" s="82">
        <f>0</f>
        <v>0</v>
      </c>
      <c r="J54" s="50">
        <f t="shared" si="2"/>
        <v>7.9221222815254819</v>
      </c>
      <c r="K54" s="50">
        <f t="shared" si="3"/>
        <v>5.6592274546487307</v>
      </c>
      <c r="O54" s="75"/>
    </row>
    <row r="55" spans="2:26" ht="26.85" customHeight="1" x14ac:dyDescent="0.2">
      <c r="B55" s="19" t="s">
        <v>45</v>
      </c>
      <c r="C55" s="38">
        <f t="shared" ref="C55:I55" si="4">C52-C53</f>
        <v>42486537734.57</v>
      </c>
      <c r="D55" s="38">
        <f>D52-D53</f>
        <v>10356737362.57</v>
      </c>
      <c r="E55" s="38">
        <f>E52-E53</f>
        <v>29771352518.560001</v>
      </c>
      <c r="F55" s="38">
        <f t="shared" si="4"/>
        <v>1105631215.1100001</v>
      </c>
      <c r="G55" s="38">
        <f t="shared" si="4"/>
        <v>7967241.8300000001</v>
      </c>
      <c r="H55" s="38">
        <f t="shared" si="4"/>
        <v>198750.27000000002</v>
      </c>
      <c r="I55" s="81">
        <f t="shared" si="4"/>
        <v>0</v>
      </c>
      <c r="J55" s="50">
        <f t="shared" si="2"/>
        <v>91.944996650558295</v>
      </c>
      <c r="K55" s="50">
        <f t="shared" si="3"/>
        <v>24.376515279434123</v>
      </c>
      <c r="O55" s="75"/>
    </row>
    <row r="56" spans="2:26" ht="22.5" outlineLevel="1" x14ac:dyDescent="0.2">
      <c r="B56" s="20" t="s">
        <v>84</v>
      </c>
      <c r="C56" s="35">
        <f>27393236896.46</f>
        <v>27393236896.459999</v>
      </c>
      <c r="D56" s="35">
        <f>7397140785.98001</f>
        <v>7397140785.98001</v>
      </c>
      <c r="E56" s="35">
        <f>22512435356.51</f>
        <v>22512435356.509998</v>
      </c>
      <c r="F56" s="35">
        <f>768905085.16</f>
        <v>768905085.15999997</v>
      </c>
      <c r="G56" s="35">
        <f>1971.94</f>
        <v>1971.94</v>
      </c>
      <c r="H56" s="35">
        <f>847.43</f>
        <v>847.43</v>
      </c>
      <c r="I56" s="82">
        <f>0</f>
        <v>0</v>
      </c>
      <c r="J56" s="50">
        <f t="shared" si="2"/>
        <v>65.670303395804893</v>
      </c>
      <c r="K56" s="50">
        <f t="shared" si="3"/>
        <v>27.003529425673442</v>
      </c>
      <c r="O56" s="76"/>
    </row>
    <row r="57" spans="2:26" ht="12.95" customHeight="1" outlineLevel="1" x14ac:dyDescent="0.2">
      <c r="B57" s="23" t="s">
        <v>34</v>
      </c>
      <c r="C57" s="61">
        <f>3348176284.43</f>
        <v>3348176284.4299998</v>
      </c>
      <c r="D57" s="61">
        <f>779620711.840001</f>
        <v>779620711.84000099</v>
      </c>
      <c r="E57" s="61">
        <f>1885252253.1</f>
        <v>1885252253.0999999</v>
      </c>
      <c r="F57" s="61">
        <f>4098376.77</f>
        <v>4098376.77</v>
      </c>
      <c r="G57" s="61">
        <f>0</f>
        <v>0</v>
      </c>
      <c r="H57" s="61">
        <f>0</f>
        <v>0</v>
      </c>
      <c r="I57" s="83">
        <f>0</f>
        <v>0</v>
      </c>
      <c r="J57" s="50">
        <f t="shared" si="2"/>
        <v>6.9213132697464657</v>
      </c>
      <c r="K57" s="50">
        <f t="shared" si="3"/>
        <v>23.284936204388806</v>
      </c>
    </row>
    <row r="58" spans="2:26" ht="12.95" customHeight="1" outlineLevel="1" x14ac:dyDescent="0.2">
      <c r="B58" s="23" t="s">
        <v>33</v>
      </c>
      <c r="C58" s="32">
        <f>492011349.2</f>
        <v>492011349.19999999</v>
      </c>
      <c r="D58" s="32">
        <f>73590097.42</f>
        <v>73590097.420000002</v>
      </c>
      <c r="E58" s="32">
        <f>184993088.69</f>
        <v>184993088.69</v>
      </c>
      <c r="F58" s="32">
        <f>18164022.52</f>
        <v>18164022.52</v>
      </c>
      <c r="G58" s="32">
        <f>0</f>
        <v>0</v>
      </c>
      <c r="H58" s="32">
        <f>0</f>
        <v>0</v>
      </c>
      <c r="I58" s="84">
        <f>0</f>
        <v>0</v>
      </c>
      <c r="J58" s="50">
        <f t="shared" si="2"/>
        <v>0.65331783784050035</v>
      </c>
      <c r="K58" s="50">
        <f t="shared" si="3"/>
        <v>14.956991853878154</v>
      </c>
    </row>
    <row r="59" spans="2:26" ht="22.5" customHeight="1" outlineLevel="1" x14ac:dyDescent="0.2">
      <c r="B59" s="23" t="s">
        <v>51</v>
      </c>
      <c r="C59" s="61">
        <f>47147879.37</f>
        <v>47147879.369999997</v>
      </c>
      <c r="D59" s="61">
        <f>500000</f>
        <v>500000</v>
      </c>
      <c r="E59" s="61">
        <f>3459545.24</f>
        <v>3459545.24</v>
      </c>
      <c r="F59" s="61">
        <f>0</f>
        <v>0</v>
      </c>
      <c r="G59" s="61">
        <f>0</f>
        <v>0</v>
      </c>
      <c r="H59" s="61">
        <f>0</f>
        <v>0</v>
      </c>
      <c r="I59" s="83">
        <f>0</f>
        <v>0</v>
      </c>
      <c r="J59" s="50">
        <f t="shared" si="2"/>
        <v>4.4388977644086143E-3</v>
      </c>
      <c r="K59" s="50">
        <f t="shared" si="3"/>
        <v>1.060493084060421</v>
      </c>
    </row>
    <row r="60" spans="2:26" ht="12.95" customHeight="1" outlineLevel="1" x14ac:dyDescent="0.2">
      <c r="B60" s="23" t="s">
        <v>52</v>
      </c>
      <c r="C60" s="61">
        <f>1196778554.09</f>
        <v>1196778554.0899999</v>
      </c>
      <c r="D60" s="61">
        <f>263280025.68</f>
        <v>263280025.68000001</v>
      </c>
      <c r="E60" s="61">
        <f>691535642.42</f>
        <v>691535642.41999996</v>
      </c>
      <c r="F60" s="61">
        <f>11382053.15</f>
        <v>11382053.15</v>
      </c>
      <c r="G60" s="61">
        <f>0</f>
        <v>0</v>
      </c>
      <c r="H60" s="61">
        <f>0</f>
        <v>0</v>
      </c>
      <c r="I60" s="85">
        <f>0</f>
        <v>0</v>
      </c>
      <c r="J60" s="50">
        <f t="shared" si="2"/>
        <v>2.3373462348087894</v>
      </c>
      <c r="K60" s="50">
        <f t="shared" si="3"/>
        <v>21.999059456759021</v>
      </c>
    </row>
    <row r="61" spans="2:26" ht="12.95" customHeight="1" outlineLevel="1" x14ac:dyDescent="0.2">
      <c r="B61" s="20" t="s">
        <v>32</v>
      </c>
      <c r="C61" s="35">
        <f t="shared" ref="C61:I61" si="5">C55-C56-C57-C58-C59-C60</f>
        <v>10009186771.019999</v>
      </c>
      <c r="D61" s="35">
        <f>D55-D56-D57-D58-D59-D60</f>
        <v>1842605741.6499884</v>
      </c>
      <c r="E61" s="86">
        <f>E55-E56-E57-E58-E59-E60</f>
        <v>4493676632.6000032</v>
      </c>
      <c r="F61" s="86">
        <f t="shared" si="5"/>
        <v>303081677.51000023</v>
      </c>
      <c r="G61" s="86">
        <f t="shared" si="5"/>
        <v>7965269.8899999997</v>
      </c>
      <c r="H61" s="86">
        <f t="shared" si="5"/>
        <v>197902.84000000003</v>
      </c>
      <c r="I61" s="87">
        <f t="shared" si="5"/>
        <v>0</v>
      </c>
      <c r="J61" s="50">
        <f t="shared" si="2"/>
        <v>16.35827701459322</v>
      </c>
      <c r="K61" s="50">
        <f t="shared" si="3"/>
        <v>18.409145356193761</v>
      </c>
    </row>
    <row r="62" spans="2:26" ht="12.95" customHeight="1" x14ac:dyDescent="0.2">
      <c r="B62" s="103" t="s">
        <v>15</v>
      </c>
      <c r="C62" s="64">
        <f>C5-C52</f>
        <v>-3780279543.9199982</v>
      </c>
      <c r="D62" s="64">
        <f>D5-D52</f>
        <v>3447667115.1499996</v>
      </c>
      <c r="E62" s="92"/>
      <c r="F62" s="93"/>
      <c r="G62" s="93"/>
      <c r="H62" s="93"/>
      <c r="I62" s="161"/>
      <c r="J62" s="161"/>
      <c r="K62" s="94"/>
      <c r="L62" s="88"/>
      <c r="M62" s="13"/>
    </row>
    <row r="63" spans="2:26" ht="39" customHeight="1" x14ac:dyDescent="0.2">
      <c r="B63" s="104" t="s">
        <v>93</v>
      </c>
      <c r="C63" s="65">
        <f>C43-C55</f>
        <v>675324757.98000336</v>
      </c>
      <c r="D63" s="65">
        <f>D43-D55</f>
        <v>3487110357.1100006</v>
      </c>
      <c r="E63" s="91"/>
      <c r="F63" s="89"/>
      <c r="G63" s="89"/>
      <c r="H63" s="89"/>
      <c r="I63" s="89"/>
      <c r="J63" s="89"/>
      <c r="K63" s="90"/>
      <c r="L63" s="90"/>
      <c r="M63" s="10"/>
    </row>
    <row r="64" spans="2:26" ht="12" customHeight="1" x14ac:dyDescent="0.2">
      <c r="B64" s="37"/>
      <c r="C64" s="42"/>
      <c r="D64" s="42"/>
      <c r="E64" s="42"/>
      <c r="F64" s="43"/>
      <c r="G64" s="43"/>
      <c r="H64" s="43"/>
      <c r="I64" s="43"/>
      <c r="J64" s="40"/>
      <c r="K64" s="40"/>
      <c r="L64" s="41"/>
      <c r="M64" s="10"/>
    </row>
    <row r="65" spans="2:13" ht="12" customHeight="1" x14ac:dyDescent="0.2">
      <c r="B65" s="126" t="s">
        <v>96</v>
      </c>
      <c r="C65" s="42"/>
      <c r="D65" s="42"/>
      <c r="E65" s="42"/>
      <c r="F65" s="43"/>
      <c r="G65" s="43"/>
      <c r="H65" s="43"/>
      <c r="I65" s="43"/>
      <c r="J65" s="40"/>
      <c r="K65" s="40"/>
      <c r="L65" s="41"/>
      <c r="M65" s="10"/>
    </row>
    <row r="66" spans="2:13" ht="26.85" customHeight="1" x14ac:dyDescent="0.2">
      <c r="B66" s="124" t="s">
        <v>92</v>
      </c>
      <c r="C66" s="122">
        <f>1639820191.51</f>
        <v>1639820191.51</v>
      </c>
      <c r="D66" s="62">
        <f>80071716.71</f>
        <v>80071716.709999993</v>
      </c>
      <c r="E66" s="62">
        <f>437995686.4</f>
        <v>437995686.39999998</v>
      </c>
      <c r="F66" s="62">
        <f>14844066.09</f>
        <v>14844066.09</v>
      </c>
      <c r="G66" s="62">
        <f>0</f>
        <v>0</v>
      </c>
      <c r="H66" s="62">
        <f>0</f>
        <v>0</v>
      </c>
      <c r="I66" s="62">
        <f>0</f>
        <v>0</v>
      </c>
      <c r="J66" s="50">
        <f>IF($D$66=0,"",100*$D66/$D$66)</f>
        <v>100</v>
      </c>
      <c r="K66" s="63">
        <f>IF(C66=0,"",100*D66/C66)</f>
        <v>4.8829571147228856</v>
      </c>
      <c r="L66" s="10"/>
    </row>
    <row r="67" spans="2:13" ht="12.95" customHeight="1" x14ac:dyDescent="0.2">
      <c r="B67" s="125" t="s">
        <v>57</v>
      </c>
      <c r="C67" s="123">
        <f>1223571845.16</f>
        <v>1223571845.1600001</v>
      </c>
      <c r="D67" s="61">
        <f>12513753.83</f>
        <v>12513753.83</v>
      </c>
      <c r="E67" s="61">
        <f>310113143.55</f>
        <v>310113143.55000001</v>
      </c>
      <c r="F67" s="61">
        <f>9427591.42</f>
        <v>9427591.4199999999</v>
      </c>
      <c r="G67" s="61">
        <f>0</f>
        <v>0</v>
      </c>
      <c r="H67" s="61">
        <f>0</f>
        <v>0</v>
      </c>
      <c r="I67" s="61">
        <f>0</f>
        <v>0</v>
      </c>
      <c r="J67" s="50">
        <f>IF($D$66=0,"",100*$D67/$D$66)</f>
        <v>15.628182264808595</v>
      </c>
      <c r="K67" s="63">
        <f>IF(C67=0,"",100*D67/C67)</f>
        <v>1.0227232572815241</v>
      </c>
    </row>
    <row r="68" spans="2:13" ht="12.95" customHeight="1" x14ac:dyDescent="0.2">
      <c r="B68" s="125" t="s">
        <v>58</v>
      </c>
      <c r="C68" s="123">
        <f>C66-C67</f>
        <v>416248346.3499999</v>
      </c>
      <c r="D68" s="61">
        <f t="shared" ref="D68:I68" si="6">D66-D67</f>
        <v>67557962.879999995</v>
      </c>
      <c r="E68" s="61">
        <f t="shared" si="6"/>
        <v>127882542.84999996</v>
      </c>
      <c r="F68" s="61">
        <f t="shared" si="6"/>
        <v>5416474.6699999999</v>
      </c>
      <c r="G68" s="61">
        <f t="shared" si="6"/>
        <v>0</v>
      </c>
      <c r="H68" s="61">
        <f t="shared" si="6"/>
        <v>0</v>
      </c>
      <c r="I68" s="61">
        <f t="shared" si="6"/>
        <v>0</v>
      </c>
      <c r="J68" s="50">
        <f>IF($D$66=0,"",100*$D68/$D$66)</f>
        <v>84.371817735191414</v>
      </c>
      <c r="K68" s="63">
        <f>IF(C68=0,"",100*D68/C68)</f>
        <v>16.230205710701924</v>
      </c>
    </row>
    <row r="69" spans="2:13" ht="20.100000000000001" customHeight="1" x14ac:dyDescent="0.2">
      <c r="B69" s="117" t="str">
        <f>CONCATENATE("Informacja z wykonania budżetów powiatów za ",$D$104," ",$C$105," rok     ",$C$107,"")</f>
        <v xml:space="preserve">Informacja z wykonania budżetów powiatów za I Kwartał 2024 rok     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2:13" x14ac:dyDescent="0.2">
      <c r="B70" s="28" t="s">
        <v>16</v>
      </c>
      <c r="C70" s="95" t="s">
        <v>17</v>
      </c>
      <c r="D70" s="71" t="s">
        <v>1</v>
      </c>
      <c r="E70" s="146" t="s">
        <v>85</v>
      </c>
      <c r="F70" s="147"/>
      <c r="G70" s="147"/>
      <c r="H70" s="147"/>
      <c r="I70" s="148"/>
      <c r="J70" s="18" t="s">
        <v>22</v>
      </c>
      <c r="K70" s="18" t="s">
        <v>23</v>
      </c>
    </row>
    <row r="71" spans="2:13" x14ac:dyDescent="0.2">
      <c r="B71" s="28"/>
      <c r="C71" s="157" t="s">
        <v>59</v>
      </c>
      <c r="D71" s="158"/>
      <c r="E71" s="149"/>
      <c r="F71" s="150"/>
      <c r="G71" s="150"/>
      <c r="H71" s="150"/>
      <c r="I71" s="151"/>
      <c r="J71" s="159" t="s">
        <v>4</v>
      </c>
      <c r="K71" s="160"/>
    </row>
    <row r="72" spans="2:13" x14ac:dyDescent="0.2">
      <c r="B72" s="26">
        <v>1</v>
      </c>
      <c r="C72" s="29">
        <v>2</v>
      </c>
      <c r="D72" s="27">
        <v>3</v>
      </c>
      <c r="E72" s="152"/>
      <c r="F72" s="153"/>
      <c r="G72" s="153"/>
      <c r="H72" s="153"/>
      <c r="I72" s="154"/>
      <c r="J72" s="27">
        <v>4</v>
      </c>
      <c r="K72" s="27">
        <v>5</v>
      </c>
    </row>
    <row r="73" spans="2:13" ht="26.85" customHeight="1" x14ac:dyDescent="0.2">
      <c r="B73" s="105" t="s">
        <v>46</v>
      </c>
      <c r="C73" s="44">
        <f>4624454590.23</f>
        <v>4624454590.2299995</v>
      </c>
      <c r="D73" s="72">
        <f>4899418859.39</f>
        <v>4899418859.3900003</v>
      </c>
      <c r="E73" s="102" t="s">
        <v>85</v>
      </c>
      <c r="F73" s="102" t="s">
        <v>85</v>
      </c>
      <c r="G73" s="102" t="s">
        <v>85</v>
      </c>
      <c r="H73" s="102" t="s">
        <v>85</v>
      </c>
      <c r="I73" s="102" t="s">
        <v>85</v>
      </c>
      <c r="J73" s="45">
        <f>IF($D$73=0,"",100*$D73/$D$73)</f>
        <v>100</v>
      </c>
      <c r="K73" s="39">
        <f t="shared" ref="K73:K87" si="7">IF(C73=0,"",100*D73/C73)</f>
        <v>105.94587456304389</v>
      </c>
    </row>
    <row r="74" spans="2:13" ht="25.5" customHeight="1" x14ac:dyDescent="0.2">
      <c r="B74" s="119" t="s">
        <v>69</v>
      </c>
      <c r="C74" s="46">
        <f>1606585993.95</f>
        <v>1606585993.95</v>
      </c>
      <c r="D74" s="98">
        <f>16750724.2</f>
        <v>16750724.199999999</v>
      </c>
      <c r="E74" s="102" t="s">
        <v>85</v>
      </c>
      <c r="F74" s="102" t="s">
        <v>85</v>
      </c>
      <c r="G74" s="102" t="s">
        <v>85</v>
      </c>
      <c r="H74" s="102" t="s">
        <v>85</v>
      </c>
      <c r="I74" s="102" t="s">
        <v>85</v>
      </c>
      <c r="J74" s="47">
        <f t="shared" ref="J74:J83" si="8">IF($D$73=0,"",100*$D74/$D$73)</f>
        <v>0.34189206272691575</v>
      </c>
      <c r="K74" s="48">
        <f t="shared" si="7"/>
        <v>1.0426285466871383</v>
      </c>
    </row>
    <row r="75" spans="2:13" ht="22.5" x14ac:dyDescent="0.2">
      <c r="B75" s="120" t="s">
        <v>70</v>
      </c>
      <c r="C75" s="66">
        <f>88740000</f>
        <v>88740000</v>
      </c>
      <c r="D75" s="56">
        <f>0</f>
        <v>0</v>
      </c>
      <c r="E75" s="102" t="s">
        <v>85</v>
      </c>
      <c r="F75" s="102" t="s">
        <v>85</v>
      </c>
      <c r="G75" s="102" t="s">
        <v>85</v>
      </c>
      <c r="H75" s="102" t="s">
        <v>85</v>
      </c>
      <c r="I75" s="102" t="s">
        <v>85</v>
      </c>
      <c r="J75" s="67">
        <f t="shared" si="8"/>
        <v>0</v>
      </c>
      <c r="K75" s="68">
        <f t="shared" si="7"/>
        <v>0</v>
      </c>
    </row>
    <row r="76" spans="2:13" ht="12.95" customHeight="1" x14ac:dyDescent="0.2">
      <c r="B76" s="118" t="s">
        <v>71</v>
      </c>
      <c r="C76" s="66">
        <f>54446812.93</f>
        <v>54446812.93</v>
      </c>
      <c r="D76" s="56">
        <f>7573706.5</f>
        <v>7573706.5</v>
      </c>
      <c r="E76" s="102" t="s">
        <v>85</v>
      </c>
      <c r="F76" s="102" t="s">
        <v>85</v>
      </c>
      <c r="G76" s="102" t="s">
        <v>85</v>
      </c>
      <c r="H76" s="102" t="s">
        <v>85</v>
      </c>
      <c r="I76" s="102" t="s">
        <v>85</v>
      </c>
      <c r="J76" s="67">
        <f t="shared" si="8"/>
        <v>0.15458377243016452</v>
      </c>
      <c r="K76" s="68">
        <f t="shared" si="7"/>
        <v>13.91028435353452</v>
      </c>
    </row>
    <row r="77" spans="2:13" ht="48.75" customHeight="1" x14ac:dyDescent="0.2">
      <c r="B77" s="118" t="s">
        <v>78</v>
      </c>
      <c r="C77" s="66">
        <f>699034573.42</f>
        <v>699034573.41999996</v>
      </c>
      <c r="D77" s="56">
        <f>1461297501.59</f>
        <v>1461297501.5899999</v>
      </c>
      <c r="E77" s="102" t="s">
        <v>85</v>
      </c>
      <c r="F77" s="102" t="s">
        <v>85</v>
      </c>
      <c r="G77" s="102" t="s">
        <v>85</v>
      </c>
      <c r="H77" s="102" t="s">
        <v>85</v>
      </c>
      <c r="I77" s="102" t="s">
        <v>85</v>
      </c>
      <c r="J77" s="67">
        <f t="shared" si="8"/>
        <v>29.825935351278336</v>
      </c>
      <c r="K77" s="68">
        <f t="shared" si="7"/>
        <v>209.04509693142325</v>
      </c>
    </row>
    <row r="78" spans="2:13" ht="35.25" customHeight="1" x14ac:dyDescent="0.2">
      <c r="B78" s="118" t="s">
        <v>79</v>
      </c>
      <c r="C78" s="66">
        <f>875784083.36</f>
        <v>875784083.36000001</v>
      </c>
      <c r="D78" s="56">
        <f>1048377665.22</f>
        <v>1048377665.22</v>
      </c>
      <c r="E78" s="102" t="s">
        <v>85</v>
      </c>
      <c r="F78" s="102" t="s">
        <v>85</v>
      </c>
      <c r="G78" s="102" t="s">
        <v>85</v>
      </c>
      <c r="H78" s="102" t="s">
        <v>85</v>
      </c>
      <c r="I78" s="102" t="s">
        <v>85</v>
      </c>
      <c r="J78" s="67">
        <f t="shared" si="8"/>
        <v>21.398000361016852</v>
      </c>
      <c r="K78" s="68">
        <f t="shared" si="7"/>
        <v>119.70732114676416</v>
      </c>
    </row>
    <row r="79" spans="2:13" ht="12.95" customHeight="1" x14ac:dyDescent="0.2">
      <c r="B79" s="118" t="s">
        <v>72</v>
      </c>
      <c r="C79" s="66">
        <f>0</f>
        <v>0</v>
      </c>
      <c r="D79" s="56">
        <f>0</f>
        <v>0</v>
      </c>
      <c r="E79" s="102" t="s">
        <v>85</v>
      </c>
      <c r="F79" s="102" t="s">
        <v>85</v>
      </c>
      <c r="G79" s="102" t="s">
        <v>85</v>
      </c>
      <c r="H79" s="102" t="s">
        <v>85</v>
      </c>
      <c r="I79" s="102" t="s">
        <v>85</v>
      </c>
      <c r="J79" s="67">
        <f t="shared" si="8"/>
        <v>0</v>
      </c>
      <c r="K79" s="68" t="str">
        <f t="shared" si="7"/>
        <v/>
      </c>
    </row>
    <row r="80" spans="2:13" ht="33.75" x14ac:dyDescent="0.2">
      <c r="B80" s="118" t="s">
        <v>73</v>
      </c>
      <c r="C80" s="66">
        <f>1314146084.49</f>
        <v>1314146084.49</v>
      </c>
      <c r="D80" s="56">
        <f>2283761172.82</f>
        <v>2283761172.8200002</v>
      </c>
      <c r="E80" s="102" t="s">
        <v>85</v>
      </c>
      <c r="F80" s="102" t="s">
        <v>85</v>
      </c>
      <c r="G80" s="102" t="s">
        <v>85</v>
      </c>
      <c r="H80" s="102" t="s">
        <v>85</v>
      </c>
      <c r="I80" s="102" t="s">
        <v>85</v>
      </c>
      <c r="J80" s="67">
        <f t="shared" si="8"/>
        <v>46.612899169521889</v>
      </c>
      <c r="K80" s="68">
        <f t="shared" si="7"/>
        <v>173.7828997684297</v>
      </c>
    </row>
    <row r="81" spans="2:11" ht="56.25" x14ac:dyDescent="0.2">
      <c r="B81" s="118" t="s">
        <v>101</v>
      </c>
      <c r="C81" s="66">
        <f>0</f>
        <v>0</v>
      </c>
      <c r="D81" s="56">
        <f>9201046.98</f>
        <v>9201046.9800000004</v>
      </c>
      <c r="E81" s="102" t="s">
        <v>85</v>
      </c>
      <c r="F81" s="102" t="s">
        <v>85</v>
      </c>
      <c r="G81" s="102" t="s">
        <v>85</v>
      </c>
      <c r="H81" s="102" t="s">
        <v>85</v>
      </c>
      <c r="I81" s="102" t="s">
        <v>85</v>
      </c>
      <c r="J81" s="67">
        <f t="shared" si="8"/>
        <v>0.1877987419337642</v>
      </c>
      <c r="K81" s="68" t="str">
        <f>IF(C81=0,"",100*D81/C81)</f>
        <v/>
      </c>
    </row>
    <row r="82" spans="2:11" x14ac:dyDescent="0.2">
      <c r="B82" s="118" t="s">
        <v>97</v>
      </c>
      <c r="C82" s="66">
        <f>74457042.08</f>
        <v>74457042.079999998</v>
      </c>
      <c r="D82" s="56">
        <f>72457042.08</f>
        <v>72457042.079999998</v>
      </c>
      <c r="E82" s="102" t="s">
        <v>85</v>
      </c>
      <c r="F82" s="102" t="s">
        <v>85</v>
      </c>
      <c r="G82" s="102" t="s">
        <v>85</v>
      </c>
      <c r="H82" s="102" t="s">
        <v>85</v>
      </c>
      <c r="I82" s="102" t="s">
        <v>85</v>
      </c>
      <c r="J82" s="67">
        <f t="shared" si="8"/>
        <v>1.4788905410920761</v>
      </c>
      <c r="K82" s="68">
        <f>IF(C82=0,"",100*D82/C82)</f>
        <v>97.313887385089629</v>
      </c>
    </row>
    <row r="83" spans="2:11" ht="23.25" customHeight="1" x14ac:dyDescent="0.2">
      <c r="B83" s="120" t="s">
        <v>98</v>
      </c>
      <c r="C83" s="66">
        <f>74457042.08</f>
        <v>74457042.079999998</v>
      </c>
      <c r="D83" s="56">
        <f>72457042.08</f>
        <v>72457042.079999998</v>
      </c>
      <c r="E83" s="102" t="s">
        <v>85</v>
      </c>
      <c r="F83" s="102" t="s">
        <v>85</v>
      </c>
      <c r="G83" s="102" t="s">
        <v>85</v>
      </c>
      <c r="H83" s="102" t="s">
        <v>85</v>
      </c>
      <c r="I83" s="102" t="s">
        <v>85</v>
      </c>
      <c r="J83" s="67">
        <f t="shared" si="8"/>
        <v>1.4788905410920761</v>
      </c>
      <c r="K83" s="68">
        <f>IF(C83=0,"",100*D83/C83)</f>
        <v>97.313887385089629</v>
      </c>
    </row>
    <row r="84" spans="2:11" ht="26.85" customHeight="1" x14ac:dyDescent="0.2">
      <c r="B84" s="105" t="s">
        <v>47</v>
      </c>
      <c r="C84" s="51">
        <f>844175046.31</f>
        <v>844175046.30999994</v>
      </c>
      <c r="D84" s="72">
        <f>415128689.22</f>
        <v>415128689.22000003</v>
      </c>
      <c r="E84" s="102" t="s">
        <v>85</v>
      </c>
      <c r="F84" s="102" t="s">
        <v>85</v>
      </c>
      <c r="G84" s="102" t="s">
        <v>85</v>
      </c>
      <c r="H84" s="102" t="s">
        <v>85</v>
      </c>
      <c r="I84" s="102" t="s">
        <v>85</v>
      </c>
      <c r="J84" s="45">
        <f t="shared" ref="J84:J89" si="9">IF($D$84=0,"",100*$D84/$D$84)</f>
        <v>100</v>
      </c>
      <c r="K84" s="39">
        <f t="shared" si="7"/>
        <v>49.175664577457255</v>
      </c>
    </row>
    <row r="85" spans="2:11" ht="33.75" x14ac:dyDescent="0.2">
      <c r="B85" s="119" t="s">
        <v>102</v>
      </c>
      <c r="C85" s="46">
        <f>768069043.43</f>
        <v>768069043.42999995</v>
      </c>
      <c r="D85" s="99">
        <f>212409813.09</f>
        <v>212409813.09</v>
      </c>
      <c r="E85" s="102" t="s">
        <v>85</v>
      </c>
      <c r="F85" s="102" t="s">
        <v>85</v>
      </c>
      <c r="G85" s="102" t="s">
        <v>85</v>
      </c>
      <c r="H85" s="102" t="s">
        <v>85</v>
      </c>
      <c r="I85" s="102" t="s">
        <v>85</v>
      </c>
      <c r="J85" s="47">
        <f t="shared" si="9"/>
        <v>51.167220817502233</v>
      </c>
      <c r="K85" s="48">
        <f t="shared" si="7"/>
        <v>27.655041549576335</v>
      </c>
    </row>
    <row r="86" spans="2:11" ht="12.95" customHeight="1" x14ac:dyDescent="0.2">
      <c r="B86" s="120" t="s">
        <v>74</v>
      </c>
      <c r="C86" s="66">
        <f>31240000</f>
        <v>31240000</v>
      </c>
      <c r="D86" s="56">
        <f>5200000</f>
        <v>5200000</v>
      </c>
      <c r="E86" s="102" t="s">
        <v>85</v>
      </c>
      <c r="F86" s="102" t="s">
        <v>85</v>
      </c>
      <c r="G86" s="102" t="s">
        <v>85</v>
      </c>
      <c r="H86" s="102" t="s">
        <v>85</v>
      </c>
      <c r="I86" s="102" t="s">
        <v>85</v>
      </c>
      <c r="J86" s="67">
        <f t="shared" si="9"/>
        <v>1.252623616491181</v>
      </c>
      <c r="K86" s="68">
        <f t="shared" si="7"/>
        <v>16.645326504481435</v>
      </c>
    </row>
    <row r="87" spans="2:11" ht="12.95" customHeight="1" x14ac:dyDescent="0.2">
      <c r="B87" s="118" t="s">
        <v>83</v>
      </c>
      <c r="C87" s="66">
        <f>55884765.87</f>
        <v>55884765.869999997</v>
      </c>
      <c r="D87" s="56">
        <f>47244940.67</f>
        <v>47244940.670000002</v>
      </c>
      <c r="E87" s="102" t="s">
        <v>85</v>
      </c>
      <c r="F87" s="102" t="s">
        <v>85</v>
      </c>
      <c r="G87" s="102" t="s">
        <v>85</v>
      </c>
      <c r="H87" s="102" t="s">
        <v>85</v>
      </c>
      <c r="I87" s="102" t="s">
        <v>85</v>
      </c>
      <c r="J87" s="67">
        <f t="shared" si="9"/>
        <v>11.380793931339747</v>
      </c>
      <c r="K87" s="68">
        <f t="shared" si="7"/>
        <v>84.539927714651085</v>
      </c>
    </row>
    <row r="88" spans="2:11" ht="12.95" customHeight="1" x14ac:dyDescent="0.2">
      <c r="B88" s="118" t="s">
        <v>99</v>
      </c>
      <c r="C88" s="66">
        <f>20221237.01</f>
        <v>20221237.010000002</v>
      </c>
      <c r="D88" s="56">
        <f>155473935.46</f>
        <v>155473935.46000001</v>
      </c>
      <c r="E88" s="102" t="s">
        <v>85</v>
      </c>
      <c r="F88" s="102" t="s">
        <v>85</v>
      </c>
      <c r="G88" s="102" t="s">
        <v>85</v>
      </c>
      <c r="H88" s="102" t="s">
        <v>85</v>
      </c>
      <c r="I88" s="102" t="s">
        <v>85</v>
      </c>
      <c r="J88" s="67">
        <f t="shared" si="9"/>
        <v>37.451985251158014</v>
      </c>
      <c r="K88" s="68">
        <f>IF(C88=0,"",100*D88/C88)</f>
        <v>768.86461190832949</v>
      </c>
    </row>
    <row r="89" spans="2:11" ht="22.5" x14ac:dyDescent="0.2">
      <c r="B89" s="120" t="s">
        <v>100</v>
      </c>
      <c r="C89" s="66">
        <f>11376519.32</f>
        <v>11376519.32</v>
      </c>
      <c r="D89" s="56">
        <f>3000000</f>
        <v>3000000</v>
      </c>
      <c r="E89" s="102" t="s">
        <v>85</v>
      </c>
      <c r="F89" s="102" t="s">
        <v>85</v>
      </c>
      <c r="G89" s="102" t="s">
        <v>85</v>
      </c>
      <c r="H89" s="102" t="s">
        <v>85</v>
      </c>
      <c r="I89" s="102" t="s">
        <v>85</v>
      </c>
      <c r="J89" s="67">
        <f t="shared" si="9"/>
        <v>0.72266747105260443</v>
      </c>
      <c r="K89" s="68">
        <f>IF(C89=0,"",100*D89/C89)</f>
        <v>26.370104208639447</v>
      </c>
    </row>
    <row r="90" spans="2:11" x14ac:dyDescent="0.2">
      <c r="B90" s="25"/>
    </row>
    <row r="91" spans="2:11" x14ac:dyDescent="0.2">
      <c r="B91" s="52" t="s">
        <v>16</v>
      </c>
      <c r="C91" s="79" t="s">
        <v>17</v>
      </c>
      <c r="D91" s="18" t="s">
        <v>1</v>
      </c>
    </row>
    <row r="92" spans="2:11" x14ac:dyDescent="0.2">
      <c r="B92" s="52"/>
      <c r="C92" s="140" t="s">
        <v>59</v>
      </c>
      <c r="D92" s="140"/>
    </row>
    <row r="93" spans="2:11" x14ac:dyDescent="0.2">
      <c r="B93" s="26">
        <v>1</v>
      </c>
      <c r="C93" s="27">
        <v>2</v>
      </c>
      <c r="D93" s="27">
        <v>3</v>
      </c>
    </row>
    <row r="94" spans="2:11" ht="36" customHeight="1" x14ac:dyDescent="0.2">
      <c r="B94" s="53" t="s">
        <v>103</v>
      </c>
      <c r="C94" s="49">
        <f>3814016151.47</f>
        <v>3814016151.4699998</v>
      </c>
      <c r="D94" s="96">
        <f>0</f>
        <v>0</v>
      </c>
    </row>
    <row r="95" spans="2:11" ht="35.25" customHeight="1" x14ac:dyDescent="0.2">
      <c r="B95" s="121" t="s">
        <v>61</v>
      </c>
      <c r="C95" s="66">
        <f>79540000</f>
        <v>79540000</v>
      </c>
      <c r="D95" s="56">
        <f>0</f>
        <v>0</v>
      </c>
    </row>
    <row r="96" spans="2:11" ht="12.95" customHeight="1" x14ac:dyDescent="0.2">
      <c r="B96" s="121" t="s">
        <v>62</v>
      </c>
      <c r="C96" s="66">
        <f>1161598726.24</f>
        <v>1161598726.24</v>
      </c>
      <c r="D96" s="56">
        <f>0</f>
        <v>0</v>
      </c>
    </row>
    <row r="97" spans="2:4" ht="24" customHeight="1" x14ac:dyDescent="0.2">
      <c r="B97" s="121" t="s">
        <v>63</v>
      </c>
      <c r="C97" s="66">
        <f>0</f>
        <v>0</v>
      </c>
      <c r="D97" s="56">
        <f>0</f>
        <v>0</v>
      </c>
    </row>
    <row r="98" spans="2:4" ht="57.75" customHeight="1" x14ac:dyDescent="0.2">
      <c r="B98" s="121" t="s">
        <v>80</v>
      </c>
      <c r="C98" s="66">
        <f>643279323.07</f>
        <v>643279323.07000005</v>
      </c>
      <c r="D98" s="56">
        <f>0</f>
        <v>0</v>
      </c>
    </row>
    <row r="99" spans="2:4" ht="81" customHeight="1" x14ac:dyDescent="0.2">
      <c r="B99" s="121" t="s">
        <v>64</v>
      </c>
      <c r="C99" s="66">
        <f>1029153813.59</f>
        <v>1029153813.59</v>
      </c>
      <c r="D99" s="56">
        <f>0</f>
        <v>0</v>
      </c>
    </row>
    <row r="100" spans="2:4" ht="149.25" customHeight="1" x14ac:dyDescent="0.2">
      <c r="B100" s="121" t="s">
        <v>81</v>
      </c>
      <c r="C100" s="66">
        <f>843155412.77</f>
        <v>843155412.76999998</v>
      </c>
      <c r="D100" s="56">
        <f>0</f>
        <v>0</v>
      </c>
    </row>
    <row r="101" spans="2:4" ht="25.5" customHeight="1" x14ac:dyDescent="0.2">
      <c r="B101" s="121" t="s">
        <v>82</v>
      </c>
      <c r="C101" s="66">
        <f>17198864.72</f>
        <v>17198864.719999999</v>
      </c>
      <c r="D101" s="56">
        <f>0</f>
        <v>0</v>
      </c>
    </row>
    <row r="102" spans="2:4" ht="25.5" customHeight="1" x14ac:dyDescent="0.2">
      <c r="B102" s="129" t="s">
        <v>98</v>
      </c>
      <c r="C102" s="66">
        <f>40090011.08</f>
        <v>40090011.079999998</v>
      </c>
      <c r="D102" s="56">
        <f>0</f>
        <v>0</v>
      </c>
    </row>
    <row r="104" spans="2:4" ht="10.5" customHeight="1" x14ac:dyDescent="0.2">
      <c r="B104" s="24" t="s">
        <v>48</v>
      </c>
      <c r="C104" s="24">
        <f>1</f>
        <v>1</v>
      </c>
      <c r="D104" s="24" t="str">
        <f>IF(C104=1,"I Kwartał",IF(C104=2,"II Kwartały",IF(C104=3,"III Kwartały",IF(C104=4,"IV Kwartały",IF(C104="M1","Styczeń",IF(C104="M11","Listopad",IF(C104="M12","Grudzień","-")))))))</f>
        <v>I Kwartał</v>
      </c>
    </row>
    <row r="105" spans="2:4" ht="10.5" customHeight="1" x14ac:dyDescent="0.2">
      <c r="B105" s="24" t="s">
        <v>49</v>
      </c>
      <c r="C105" s="100">
        <f>2024</f>
        <v>2024</v>
      </c>
      <c r="D105" s="25"/>
    </row>
    <row r="106" spans="2:4" ht="12" customHeight="1" x14ac:dyDescent="0.2">
      <c r="B106" s="24" t="s">
        <v>50</v>
      </c>
      <c r="C106" s="144" t="str">
        <f>"May 21 2024 12:00AM"</f>
        <v>May 21 2024 12:00AM</v>
      </c>
      <c r="D106" s="145"/>
    </row>
    <row r="107" spans="2:4" ht="9.75" hidden="1" customHeight="1" x14ac:dyDescent="0.2">
      <c r="B107" s="24" t="s">
        <v>54</v>
      </c>
      <c r="C107" s="101" t="str">
        <f>""</f>
        <v/>
      </c>
      <c r="D107" s="25"/>
    </row>
  </sheetData>
  <mergeCells count="22">
    <mergeCell ref="J71:K71"/>
    <mergeCell ref="D47:D49"/>
    <mergeCell ref="E47:E49"/>
    <mergeCell ref="F48:F49"/>
    <mergeCell ref="I62:J62"/>
    <mergeCell ref="K47:K49"/>
    <mergeCell ref="J47:J49"/>
    <mergeCell ref="J50:K50"/>
    <mergeCell ref="C106:D106"/>
    <mergeCell ref="E70:I72"/>
    <mergeCell ref="F47:H47"/>
    <mergeCell ref="G48:H48"/>
    <mergeCell ref="C71:D71"/>
    <mergeCell ref="C92:D92"/>
    <mergeCell ref="J3:L3"/>
    <mergeCell ref="E3:I4"/>
    <mergeCell ref="B2:B3"/>
    <mergeCell ref="C47:C49"/>
    <mergeCell ref="B47:B50"/>
    <mergeCell ref="I47:I49"/>
    <mergeCell ref="C50:I50"/>
    <mergeCell ref="C3:D3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useFirstPageNumber="1" r:id="rId1"/>
  <headerFooter alignWithMargins="0">
    <oddFooter>&amp;RStrona &amp;P z &amp;N</oddFooter>
  </headerFooter>
  <rowBreaks count="4" manualBreakCount="4">
    <brk id="34" min="1" max="11" man="1"/>
    <brk id="44" max="16383" man="1"/>
    <brk id="68" max="16383" man="1"/>
    <brk id="9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2017-03-30T11:49:59Z</cp:lastPrinted>
  <dcterms:created xsi:type="dcterms:W3CDTF">2001-05-17T08:58:03Z</dcterms:created>
  <dcterms:modified xsi:type="dcterms:W3CDTF">2024-06-03T10:52:54Z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2022-06-01T15:12:20.5504483+02:00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GRN-bdb4f178-0504-4a7c-baaa-5bdd997b4a6c</vt:lpwstr>
  </property>
  <property fmtid="{D5CDD505-2E9C-101B-9397-08002B2CF9AE}" pid="7" name="MFHash">
    <vt:lpwstr>cvgFc3qUTZFJKNGd/QdKw5m28phCkq0fuCyZvwRduGg=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