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S:\ST\ST7\BeSTi@\2022\III KWARTAŁ\www\MF\Zestawienia zbiorcze\"/>
    </mc:Choice>
  </mc:AlternateContent>
  <bookViews>
    <workbookView xWindow="0" yWindow="0" windowWidth="19200" windowHeight="7300"/>
  </bookViews>
  <sheets>
    <sheet name="doch_wyd" sheetId="4" r:id="rId1"/>
  </sheets>
  <calcPr calcId="152511"/>
</workbook>
</file>

<file path=xl/calcChain.xml><?xml version="1.0" encoding="utf-8"?>
<calcChain xmlns="http://schemas.openxmlformats.org/spreadsheetml/2006/main">
  <c r="C103" i="4" l="1"/>
  <c r="C102" i="4"/>
  <c r="C101" i="4"/>
  <c r="C100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J31" i="4" s="1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D12" i="4"/>
  <c r="D11" i="4" s="1"/>
  <c r="C12" i="4"/>
  <c r="J57" i="4"/>
  <c r="J51" i="4"/>
  <c r="J59" i="4"/>
  <c r="J55" i="4"/>
  <c r="J56" i="4"/>
  <c r="J53" i="4"/>
  <c r="J58" i="4"/>
  <c r="J52" i="4"/>
  <c r="D54" i="4"/>
  <c r="D60" i="4" s="1"/>
  <c r="J60" i="4" s="1"/>
  <c r="C61" i="4"/>
  <c r="K5" i="4"/>
  <c r="C40" i="4"/>
  <c r="C42" i="4" s="1"/>
  <c r="K13" i="4"/>
  <c r="K17" i="4"/>
  <c r="K21" i="4"/>
  <c r="K25" i="4"/>
  <c r="K29" i="4"/>
  <c r="K33" i="4"/>
  <c r="K38" i="4"/>
  <c r="E54" i="4"/>
  <c r="E60" i="4"/>
  <c r="K58" i="4"/>
  <c r="E67" i="4"/>
  <c r="K75" i="4"/>
  <c r="K79" i="4"/>
  <c r="K83" i="4"/>
  <c r="D100" i="4"/>
  <c r="J36" i="4"/>
  <c r="J32" i="4"/>
  <c r="J24" i="4"/>
  <c r="J27" i="4"/>
  <c r="J21" i="4"/>
  <c r="J7" i="4"/>
  <c r="J20" i="4"/>
  <c r="J19" i="4"/>
  <c r="J25" i="4"/>
  <c r="J17" i="4"/>
  <c r="J14" i="4"/>
  <c r="J8" i="4"/>
  <c r="J9" i="4"/>
  <c r="J26" i="4"/>
  <c r="J16" i="4"/>
  <c r="J39" i="4"/>
  <c r="D40" i="4"/>
  <c r="D42" i="4" s="1"/>
  <c r="J42" i="4" s="1"/>
  <c r="J30" i="4"/>
  <c r="J18" i="4"/>
  <c r="J5" i="4"/>
  <c r="J13" i="4"/>
  <c r="J38" i="4"/>
  <c r="D61" i="4"/>
  <c r="J34" i="4"/>
  <c r="J23" i="4"/>
  <c r="J37" i="4"/>
  <c r="J33" i="4"/>
  <c r="J28" i="4"/>
  <c r="J15" i="4"/>
  <c r="J29" i="4"/>
  <c r="J22" i="4"/>
  <c r="F54" i="4"/>
  <c r="F60" i="4"/>
  <c r="K57" i="4"/>
  <c r="F67" i="4"/>
  <c r="K7" i="4"/>
  <c r="K14" i="4"/>
  <c r="K18" i="4"/>
  <c r="K22" i="4"/>
  <c r="K26" i="4"/>
  <c r="K30" i="4"/>
  <c r="K34" i="4"/>
  <c r="K39" i="4"/>
  <c r="G54" i="4"/>
  <c r="G60" i="4"/>
  <c r="K56" i="4"/>
  <c r="G67" i="4"/>
  <c r="K76" i="4"/>
  <c r="K80" i="4"/>
  <c r="K84" i="4"/>
  <c r="H54" i="4"/>
  <c r="H60" i="4" s="1"/>
  <c r="K15" i="4"/>
  <c r="K23" i="4"/>
  <c r="K31" i="4"/>
  <c r="K41" i="4"/>
  <c r="I54" i="4"/>
  <c r="I60" i="4"/>
  <c r="K73" i="4"/>
  <c r="K81" i="4"/>
  <c r="D35" i="4"/>
  <c r="J35" i="4" s="1"/>
  <c r="K52" i="4"/>
  <c r="K66" i="4"/>
  <c r="J80" i="4"/>
  <c r="J73" i="4"/>
  <c r="J75" i="4"/>
  <c r="J76" i="4"/>
  <c r="J74" i="4"/>
  <c r="J81" i="4"/>
  <c r="J78" i="4"/>
  <c r="J77" i="4"/>
  <c r="J79" i="4"/>
  <c r="H67" i="4"/>
  <c r="K8" i="4"/>
  <c r="K19" i="4"/>
  <c r="K27" i="4"/>
  <c r="C35" i="4"/>
  <c r="K36" i="4"/>
  <c r="K53" i="4"/>
  <c r="I67" i="4"/>
  <c r="K77" i="4"/>
  <c r="K85" i="4"/>
  <c r="K9" i="4"/>
  <c r="K16" i="4"/>
  <c r="K20" i="4"/>
  <c r="K24" i="4"/>
  <c r="K28" i="4"/>
  <c r="K32" i="4"/>
  <c r="K37" i="4"/>
  <c r="K51" i="4"/>
  <c r="C54" i="4"/>
  <c r="C60" i="4" s="1"/>
  <c r="K65" i="4"/>
  <c r="C67" i="4"/>
  <c r="K74" i="4"/>
  <c r="K78" i="4"/>
  <c r="K82" i="4"/>
  <c r="K86" i="4"/>
  <c r="K55" i="4"/>
  <c r="K59" i="4"/>
  <c r="J66" i="4"/>
  <c r="J65" i="4"/>
  <c r="D67" i="4"/>
  <c r="K67" i="4" s="1"/>
  <c r="J67" i="4"/>
  <c r="J82" i="4"/>
  <c r="J83" i="4"/>
  <c r="J85" i="4"/>
  <c r="J84" i="4"/>
  <c r="J86" i="4"/>
  <c r="J41" i="4" l="1"/>
  <c r="J40" i="4"/>
  <c r="B1" i="4"/>
  <c r="B68" i="4"/>
  <c r="B44" i="4"/>
  <c r="K60" i="4"/>
  <c r="K54" i="4"/>
  <c r="J54" i="4"/>
  <c r="D62" i="4"/>
  <c r="K35" i="4"/>
  <c r="J12" i="4"/>
  <c r="K12" i="4"/>
  <c r="D6" i="4"/>
  <c r="L8" i="4" s="1"/>
  <c r="J11" i="4"/>
  <c r="C11" i="4"/>
  <c r="K11" i="4" s="1"/>
  <c r="K42" i="4"/>
  <c r="C62" i="4"/>
  <c r="K40" i="4"/>
  <c r="L9" i="4" l="1"/>
  <c r="J6" i="4"/>
  <c r="L7" i="4"/>
  <c r="L6" i="4"/>
  <c r="D10" i="4"/>
  <c r="J10" i="4" s="1"/>
  <c r="C6" i="4"/>
  <c r="C10" i="4" s="1"/>
  <c r="K10" i="4" l="1"/>
  <c r="L10" i="4"/>
  <c r="K6" i="4"/>
</calcChain>
</file>

<file path=xl/sharedStrings.xml><?xml version="1.0" encoding="utf-8"?>
<sst xmlns="http://schemas.openxmlformats.org/spreadsheetml/2006/main" count="381" uniqueCount="102">
  <si>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</si>
  <si>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</si>
  <si>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</si>
  <si>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</si>
  <si>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</si>
  <si>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</si>
  <si>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</si>
  <si>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</si>
  <si>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</si>
  <si>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</si>
  <si>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</si>
  <si>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</si>
  <si>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</si>
  <si>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</si>
  <si>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</si>
  <si>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</si>
  <si>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</si>
  <si>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</si>
  <si>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</si>
  <si>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</si>
  <si>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</si>
  <si>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</si>
  <si>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</si>
  <si>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</si>
  <si>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</si>
  <si>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</si>
  <si>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</si>
  <si>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</si>
  <si>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</si>
  <si>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</si>
  <si>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</si>
  <si>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</si>
  <si>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</si>
  <si>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</si>
  <si>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</si>
  <si>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</si>
  <si>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</si>
  <si>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</si>
  <si>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</si>
  <si>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</si>
  <si>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</si>
  <si>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</si>
  <si>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</si>
  <si>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</si>
  <si>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</si>
  <si>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</si>
  <si>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</si>
  <si>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</si>
  <si>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</si>
  <si>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</si>
  <si>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</si>
  <si>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</si>
  <si>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</si>
  <si>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</si>
  <si>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</si>
  <si>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</si>
  <si>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</si>
  <si>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</si>
  <si>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</si>
  <si>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</si>
  <si>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</si>
  <si>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</si>
  <si>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</si>
  <si>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</si>
  <si>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</si>
  <si>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</si>
  <si>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</si>
  <si>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</si>
  <si>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</si>
  <si>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</si>
  <si>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</si>
  <si>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</si>
  <si>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</si>
  <si>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</si>
  <si>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</si>
  <si>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</si>
  <si>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</si>
  <si>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</si>
  <si>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</si>
  <si>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</si>
  <si>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</si>
  <si>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</si>
  <si>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</si>
  <si>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</si>
  <si>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</si>
  <si>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</si>
  <si>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</si>
  <si>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</si>
  <si>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</si>
  <si>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</si>
  <si>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</si>
  <si>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</si>
  <si>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</si>
  <si>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</si>
  <si>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</si>
  <si>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</si>
  <si>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</si>
  <si>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</si>
  <si>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FINANSOWANIE DEFICYTU (E1+E2+E3+E4+E5+E6+E7) 
z tego: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</si>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</sst>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4" fontId="12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39" applyFont="1" applyFill="1" applyBorder="1" applyAlignment="1">
      <alignment horizontal="left" vertical="center" wrapText="1"/>
    </xf>
    <xf numFmtId="164" fontId="11" fillId="21" borderId="10" xfId="28" applyNumberFormat="1" applyFont="1" applyFill="1" applyBorder="1" applyAlignment="1">
      <alignment horizontal="right" vertical="center"/>
    </xf>
    <xf numFmtId="164" fontId="11" fillId="21" borderId="10" xfId="0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4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4" fontId="11" fillId="0" borderId="10" xfId="28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4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4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4" fontId="4" fillId="22" borderId="14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39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5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39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3"/>
  <sheetViews>
    <sheetView tabSelected="1" topLeftCell="B1" zoomScaleNormal="100" workbookViewId="0"/>
  </sheetViews>
  <sheetFormatPr defaultColWidth="9.1796875" defaultRowHeight="12.5" outlineLevelRow="1" outlineLevelCol="1" x14ac:dyDescent="0.25"/>
  <cols>
    <col min="1" max="1" width="5.7265625" style="1" hidden="1" customWidth="1"/>
    <col min="2" max="2" width="30.7265625" style="1" customWidth="1"/>
    <col min="3" max="4" width="14.54296875" style="1" customWidth="1"/>
    <col min="5" max="5" width="14.54296875" style="1" customWidth="1" outlineLevel="1"/>
    <col min="6" max="6" width="13.81640625" style="1" customWidth="1" outlineLevel="1"/>
    <col min="7" max="9" width="13" style="1" customWidth="1" outlineLevel="1"/>
    <col min="10" max="10" width="13" style="1" customWidth="1"/>
    <col min="11" max="11" width="7.453125" style="1" customWidth="1"/>
    <col min="12" max="12" width="8.453125" style="1" customWidth="1"/>
    <col min="13" max="13" width="8.54296875" style="1" customWidth="1"/>
    <col min="14" max="16384" width="9.1796875" style="1"/>
  </cols>
  <sheetData>
    <row r="1" spans="2:17" ht="18" customHeight="1" x14ac:dyDescent="0.25">
      <c r="B1" s="100" t="str">
        <f>CONCATENATE("Informacja z wykonania budżetów województw za ",$D$100," ",$C$101," rok    ",$C$103,"")</f>
        <v xml:space="preserve">Informacja z wykonania budżetów województw za III Kwartały 2022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5">
      <c r="B2" s="120" t="s">
        <v>0</v>
      </c>
      <c r="C2" s="13" t="s">
        <v>27</v>
      </c>
      <c r="D2" s="13" t="s">
        <v>28</v>
      </c>
      <c r="E2" s="13" t="s">
        <v>91</v>
      </c>
      <c r="F2" s="13" t="s">
        <v>92</v>
      </c>
      <c r="G2" s="13" t="s">
        <v>93</v>
      </c>
      <c r="H2" s="13" t="s">
        <v>94</v>
      </c>
      <c r="I2" s="13" t="s">
        <v>95</v>
      </c>
      <c r="J2" s="14" t="s">
        <v>2</v>
      </c>
      <c r="K2" s="13" t="s">
        <v>18</v>
      </c>
      <c r="L2" s="13" t="s">
        <v>3</v>
      </c>
    </row>
    <row r="3" spans="2:17" ht="9.75" customHeight="1" x14ac:dyDescent="0.25">
      <c r="B3" s="120"/>
      <c r="C3" s="130" t="s">
        <v>61</v>
      </c>
      <c r="D3" s="132"/>
      <c r="E3" s="124" t="s">
        <v>89</v>
      </c>
      <c r="F3" s="125"/>
      <c r="G3" s="125"/>
      <c r="H3" s="125"/>
      <c r="I3" s="126"/>
      <c r="J3" s="130" t="s">
        <v>4</v>
      </c>
      <c r="K3" s="131"/>
      <c r="L3" s="132"/>
    </row>
    <row r="4" spans="2:17" ht="9" customHeight="1" x14ac:dyDescent="0.25">
      <c r="B4" s="14">
        <v>1</v>
      </c>
      <c r="C4" s="16">
        <v>2</v>
      </c>
      <c r="D4" s="16">
        <v>3</v>
      </c>
      <c r="E4" s="127"/>
      <c r="F4" s="128"/>
      <c r="G4" s="128"/>
      <c r="H4" s="128"/>
      <c r="I4" s="129"/>
      <c r="J4" s="16">
        <v>4</v>
      </c>
      <c r="K4" s="16">
        <v>5</v>
      </c>
      <c r="L4" s="16">
        <v>6</v>
      </c>
    </row>
    <row r="5" spans="2:17" ht="13" customHeight="1" x14ac:dyDescent="0.25">
      <c r="B5" s="98" t="s">
        <v>5</v>
      </c>
      <c r="C5" s="55">
        <f>24696365999.5</f>
        <v>24696365999.5</v>
      </c>
      <c r="D5" s="55">
        <f>17739943729.34</f>
        <v>17739943729.34</v>
      </c>
      <c r="E5" s="94" t="s">
        <v>89</v>
      </c>
      <c r="F5" s="94" t="s">
        <v>89</v>
      </c>
      <c r="G5" s="94" t="s">
        <v>89</v>
      </c>
      <c r="H5" s="94" t="s">
        <v>89</v>
      </c>
      <c r="I5" s="94" t="s">
        <v>89</v>
      </c>
      <c r="J5" s="56">
        <f t="shared" ref="J5:J39" si="0">IF($D$5=0,"",100*$D5/$D$5)</f>
        <v>100</v>
      </c>
      <c r="K5" s="56">
        <f t="shared" ref="K5:K42" si="1">IF(C5=0,"",100*D5/C5)</f>
        <v>71.832202882396388</v>
      </c>
      <c r="L5" s="56"/>
      <c r="M5" s="34"/>
      <c r="N5" s="34"/>
      <c r="O5" s="34"/>
      <c r="P5" s="34"/>
      <c r="Q5" s="34"/>
    </row>
    <row r="6" spans="2:17" ht="27" customHeight="1" x14ac:dyDescent="0.25">
      <c r="B6" s="96" t="s">
        <v>42</v>
      </c>
      <c r="C6" s="22">
        <f>C5-C11-C35</f>
        <v>13275664923.950001</v>
      </c>
      <c r="D6" s="22">
        <f>D5-D11-D35</f>
        <v>9992077332.4300003</v>
      </c>
      <c r="E6" s="94" t="s">
        <v>89</v>
      </c>
      <c r="F6" s="94" t="s">
        <v>89</v>
      </c>
      <c r="G6" s="94" t="s">
        <v>89</v>
      </c>
      <c r="H6" s="94" t="s">
        <v>89</v>
      </c>
      <c r="I6" s="94" t="s">
        <v>89</v>
      </c>
      <c r="J6" s="29">
        <f t="shared" si="0"/>
        <v>56.325304549327036</v>
      </c>
      <c r="K6" s="29">
        <f t="shared" si="1"/>
        <v>75.266115781543746</v>
      </c>
      <c r="L6" s="29">
        <f>IF($D$6=0,"",100*$D6/$D$6)</f>
        <v>100</v>
      </c>
      <c r="M6" s="34"/>
      <c r="N6" s="34"/>
      <c r="O6" s="34"/>
      <c r="P6" s="34"/>
      <c r="Q6" s="34"/>
    </row>
    <row r="7" spans="2:17" outlineLevel="1" x14ac:dyDescent="0.25">
      <c r="B7" s="28" t="s">
        <v>26</v>
      </c>
      <c r="C7" s="20">
        <f>9788100000</f>
        <v>9788100000</v>
      </c>
      <c r="D7" s="20">
        <f>7340439567.27</f>
        <v>7340439567.2700005</v>
      </c>
      <c r="E7" s="110" t="s">
        <v>89</v>
      </c>
      <c r="F7" s="110" t="s">
        <v>89</v>
      </c>
      <c r="G7" s="110" t="s">
        <v>89</v>
      </c>
      <c r="H7" s="110" t="s">
        <v>89</v>
      </c>
      <c r="I7" s="110" t="s">
        <v>89</v>
      </c>
      <c r="J7" s="30">
        <f t="shared" si="0"/>
        <v>41.378031854349601</v>
      </c>
      <c r="K7" s="30">
        <f t="shared" si="1"/>
        <v>74.993508109541182</v>
      </c>
      <c r="L7" s="30">
        <f>IF($D$6=0,"",100*$D7/$D$6)</f>
        <v>73.462597646698342</v>
      </c>
      <c r="M7" s="34"/>
      <c r="N7" s="34"/>
      <c r="O7" s="34"/>
      <c r="P7" s="34"/>
      <c r="Q7" s="34"/>
    </row>
    <row r="8" spans="2:17" outlineLevel="1" x14ac:dyDescent="0.25">
      <c r="B8" s="60" t="s">
        <v>19</v>
      </c>
      <c r="C8" s="21">
        <f>1720495999</f>
        <v>1720495999</v>
      </c>
      <c r="D8" s="21">
        <f>1290372012</f>
        <v>1290372012</v>
      </c>
      <c r="E8" s="110" t="s">
        <v>89</v>
      </c>
      <c r="F8" s="110" t="s">
        <v>89</v>
      </c>
      <c r="G8" s="110" t="s">
        <v>89</v>
      </c>
      <c r="H8" s="110" t="s">
        <v>89</v>
      </c>
      <c r="I8" s="110" t="s">
        <v>89</v>
      </c>
      <c r="J8" s="30">
        <f t="shared" si="0"/>
        <v>7.2738224635169528</v>
      </c>
      <c r="K8" s="30">
        <f t="shared" si="1"/>
        <v>75.000000741065364</v>
      </c>
      <c r="L8" s="30">
        <f>IF($D$6=0,"",100*$D8/$D$6)</f>
        <v>12.913951414407148</v>
      </c>
      <c r="M8" s="34"/>
      <c r="N8" s="34"/>
      <c r="O8" s="34"/>
      <c r="P8" s="34"/>
      <c r="Q8" s="34"/>
    </row>
    <row r="9" spans="2:17" ht="12.75" customHeight="1" outlineLevel="1" x14ac:dyDescent="0.25">
      <c r="B9" s="60" t="s">
        <v>20</v>
      </c>
      <c r="C9" s="21">
        <f>186477700.5</f>
        <v>186477700.5</v>
      </c>
      <c r="D9" s="57">
        <f>165985956.83</f>
        <v>165985956.83000001</v>
      </c>
      <c r="E9" s="110" t="s">
        <v>89</v>
      </c>
      <c r="F9" s="110" t="s">
        <v>89</v>
      </c>
      <c r="G9" s="110" t="s">
        <v>89</v>
      </c>
      <c r="H9" s="110" t="s">
        <v>89</v>
      </c>
      <c r="I9" s="110" t="s">
        <v>89</v>
      </c>
      <c r="J9" s="30">
        <f t="shared" si="0"/>
        <v>0.93566225103339373</v>
      </c>
      <c r="K9" s="30">
        <f t="shared" si="1"/>
        <v>89.01115596392718</v>
      </c>
      <c r="L9" s="30">
        <f>IF($D$6=0,"",100*$D9/$D$6)</f>
        <v>1.6611756625549798</v>
      </c>
      <c r="M9" s="34"/>
      <c r="N9" s="34"/>
      <c r="O9" s="34"/>
      <c r="P9" s="34"/>
      <c r="Q9" s="34"/>
    </row>
    <row r="10" spans="2:17" ht="12.75" customHeight="1" outlineLevel="1" x14ac:dyDescent="0.25">
      <c r="B10" s="60" t="s">
        <v>21</v>
      </c>
      <c r="C10" s="21">
        <f>C6-C7-C8-C9</f>
        <v>1580591224.4500008</v>
      </c>
      <c r="D10" s="21">
        <f>D6-D7-D8-D9</f>
        <v>1195279796.3299999</v>
      </c>
      <c r="E10" s="110" t="s">
        <v>89</v>
      </c>
      <c r="F10" s="110" t="s">
        <v>89</v>
      </c>
      <c r="G10" s="110" t="s">
        <v>89</v>
      </c>
      <c r="H10" s="110" t="s">
        <v>89</v>
      </c>
      <c r="I10" s="110" t="s">
        <v>89</v>
      </c>
      <c r="J10" s="30">
        <f t="shared" si="0"/>
        <v>6.7377879804270915</v>
      </c>
      <c r="K10" s="30">
        <f t="shared" si="1"/>
        <v>75.622322700540252</v>
      </c>
      <c r="L10" s="30">
        <f>IF($D$6=0,"",100*$D10/$D$6)</f>
        <v>11.962275276339527</v>
      </c>
      <c r="M10" s="34"/>
      <c r="N10" s="34"/>
      <c r="O10" s="34"/>
      <c r="P10" s="34"/>
      <c r="Q10" s="34"/>
    </row>
    <row r="11" spans="2:17" ht="27" customHeight="1" x14ac:dyDescent="0.25">
      <c r="B11" s="96" t="s">
        <v>90</v>
      </c>
      <c r="C11" s="55">
        <f>C12+C31+C33</f>
        <v>7166156808.5499992</v>
      </c>
      <c r="D11" s="55">
        <f>D12+D31+D33</f>
        <v>4437300494.9099998</v>
      </c>
      <c r="E11" s="94" t="s">
        <v>89</v>
      </c>
      <c r="F11" s="94" t="s">
        <v>89</v>
      </c>
      <c r="G11" s="94" t="s">
        <v>89</v>
      </c>
      <c r="H11" s="94" t="s">
        <v>89</v>
      </c>
      <c r="I11" s="94" t="s">
        <v>89</v>
      </c>
      <c r="J11" s="56">
        <f t="shared" si="0"/>
        <v>25.013047181041347</v>
      </c>
      <c r="K11" s="56">
        <f t="shared" si="1"/>
        <v>61.920226049419142</v>
      </c>
      <c r="L11" s="58"/>
      <c r="M11" s="34"/>
      <c r="N11" s="34"/>
      <c r="O11" s="34"/>
      <c r="P11" s="34"/>
      <c r="Q11" s="34"/>
    </row>
    <row r="12" spans="2:17" ht="27" customHeight="1" outlineLevel="1" x14ac:dyDescent="0.25">
      <c r="B12" s="102" t="s">
        <v>43</v>
      </c>
      <c r="C12" s="55">
        <f>C13+C15+C17+C19+C21+C23+C25+C27+C29</f>
        <v>1913319016.6499999</v>
      </c>
      <c r="D12" s="55">
        <f>D13+D15+D17+D19+D21+D23+D25+D27+D29</f>
        <v>1380870084.3000002</v>
      </c>
      <c r="E12" s="94" t="s">
        <v>89</v>
      </c>
      <c r="F12" s="94" t="s">
        <v>89</v>
      </c>
      <c r="G12" s="94" t="s">
        <v>89</v>
      </c>
      <c r="H12" s="94" t="s">
        <v>89</v>
      </c>
      <c r="I12" s="94" t="s">
        <v>89</v>
      </c>
      <c r="J12" s="56">
        <f t="shared" si="0"/>
        <v>7.7839597766941422</v>
      </c>
      <c r="K12" s="56">
        <f t="shared" si="1"/>
        <v>72.171450358432338</v>
      </c>
      <c r="L12" s="26"/>
      <c r="M12" s="34"/>
      <c r="N12" s="34"/>
      <c r="O12" s="34"/>
      <c r="P12" s="34"/>
      <c r="Q12" s="34"/>
    </row>
    <row r="13" spans="2:17" outlineLevel="1" x14ac:dyDescent="0.25">
      <c r="B13" s="103" t="s">
        <v>9</v>
      </c>
      <c r="C13" s="21">
        <f>1300402774.01</f>
        <v>1300402774.01</v>
      </c>
      <c r="D13" s="21">
        <f>1003411358.49</f>
        <v>1003411358.49</v>
      </c>
      <c r="E13" s="110" t="s">
        <v>89</v>
      </c>
      <c r="F13" s="110" t="s">
        <v>89</v>
      </c>
      <c r="G13" s="110" t="s">
        <v>89</v>
      </c>
      <c r="H13" s="110" t="s">
        <v>89</v>
      </c>
      <c r="I13" s="110" t="s">
        <v>89</v>
      </c>
      <c r="J13" s="30">
        <f t="shared" si="0"/>
        <v>5.6562262755685246</v>
      </c>
      <c r="K13" s="30">
        <f t="shared" si="1"/>
        <v>77.161582437710479</v>
      </c>
      <c r="L13" s="26"/>
      <c r="M13" s="34"/>
      <c r="N13" s="34"/>
      <c r="O13" s="34"/>
      <c r="P13" s="34"/>
      <c r="Q13" s="34"/>
    </row>
    <row r="14" spans="2:17" ht="12.75" customHeight="1" outlineLevel="1" x14ac:dyDescent="0.25">
      <c r="B14" s="113" t="s">
        <v>6</v>
      </c>
      <c r="C14" s="21">
        <f>336755</f>
        <v>336755</v>
      </c>
      <c r="D14" s="21">
        <f>92000</f>
        <v>92000</v>
      </c>
      <c r="E14" s="110" t="s">
        <v>89</v>
      </c>
      <c r="F14" s="110" t="s">
        <v>89</v>
      </c>
      <c r="G14" s="110" t="s">
        <v>89</v>
      </c>
      <c r="H14" s="110" t="s">
        <v>89</v>
      </c>
      <c r="I14" s="110" t="s">
        <v>89</v>
      </c>
      <c r="J14" s="30">
        <f t="shared" si="0"/>
        <v>5.1860367430501869E-4</v>
      </c>
      <c r="K14" s="30">
        <f t="shared" si="1"/>
        <v>27.31956466867604</v>
      </c>
      <c r="L14" s="26"/>
      <c r="M14" s="34"/>
      <c r="N14" s="34"/>
      <c r="O14" s="34"/>
      <c r="P14" s="34"/>
      <c r="Q14" s="34"/>
    </row>
    <row r="15" spans="2:17" ht="12.75" customHeight="1" outlineLevel="1" x14ac:dyDescent="0.25">
      <c r="B15" s="103" t="s">
        <v>7</v>
      </c>
      <c r="C15" s="21">
        <f>79829967.76</f>
        <v>79829967.760000005</v>
      </c>
      <c r="D15" s="21">
        <f>29755235.77</f>
        <v>29755235.77</v>
      </c>
      <c r="E15" s="110" t="s">
        <v>89</v>
      </c>
      <c r="F15" s="110" t="s">
        <v>89</v>
      </c>
      <c r="G15" s="110" t="s">
        <v>89</v>
      </c>
      <c r="H15" s="110" t="s">
        <v>89</v>
      </c>
      <c r="I15" s="110" t="s">
        <v>89</v>
      </c>
      <c r="J15" s="30">
        <f t="shared" si="0"/>
        <v>0.16773015869711003</v>
      </c>
      <c r="K15" s="30">
        <f t="shared" si="1"/>
        <v>37.273265422649089</v>
      </c>
      <c r="L15" s="26"/>
      <c r="M15" s="34"/>
      <c r="N15" s="34"/>
      <c r="O15" s="34"/>
      <c r="P15" s="34"/>
      <c r="Q15" s="34"/>
    </row>
    <row r="16" spans="2:17" ht="12.75" customHeight="1" outlineLevel="1" x14ac:dyDescent="0.25">
      <c r="B16" s="113" t="s">
        <v>6</v>
      </c>
      <c r="C16" s="21">
        <f>53599601.56</f>
        <v>53599601.560000002</v>
      </c>
      <c r="D16" s="21">
        <f>9943176.98</f>
        <v>9943176.9800000004</v>
      </c>
      <c r="E16" s="110" t="s">
        <v>89</v>
      </c>
      <c r="F16" s="110" t="s">
        <v>89</v>
      </c>
      <c r="G16" s="110" t="s">
        <v>89</v>
      </c>
      <c r="H16" s="110" t="s">
        <v>89</v>
      </c>
      <c r="I16" s="110" t="s">
        <v>89</v>
      </c>
      <c r="J16" s="30">
        <f t="shared" si="0"/>
        <v>5.6049653435794343E-2</v>
      </c>
      <c r="K16" s="30">
        <f t="shared" si="1"/>
        <v>18.550841220096562</v>
      </c>
      <c r="L16" s="26"/>
      <c r="M16" s="34"/>
      <c r="N16" s="34"/>
      <c r="O16" s="34"/>
      <c r="P16" s="34"/>
      <c r="Q16" s="34"/>
    </row>
    <row r="17" spans="2:17" ht="20" outlineLevel="1" x14ac:dyDescent="0.25">
      <c r="B17" s="103" t="s">
        <v>10</v>
      </c>
      <c r="C17" s="21">
        <f>45947171</f>
        <v>45947171</v>
      </c>
      <c r="D17" s="21">
        <f>24583902.17</f>
        <v>24583902.170000002</v>
      </c>
      <c r="E17" s="110" t="s">
        <v>89</v>
      </c>
      <c r="F17" s="110" t="s">
        <v>89</v>
      </c>
      <c r="G17" s="110" t="s">
        <v>89</v>
      </c>
      <c r="H17" s="110" t="s">
        <v>89</v>
      </c>
      <c r="I17" s="110" t="s">
        <v>89</v>
      </c>
      <c r="J17" s="30">
        <f t="shared" si="0"/>
        <v>0.13857936950127306</v>
      </c>
      <c r="K17" s="30">
        <f t="shared" si="1"/>
        <v>53.504713424032133</v>
      </c>
      <c r="L17" s="26"/>
      <c r="M17" s="34"/>
      <c r="N17" s="34"/>
      <c r="O17" s="34"/>
      <c r="P17" s="34"/>
      <c r="Q17" s="34"/>
    </row>
    <row r="18" spans="2:17" ht="12.75" customHeight="1" outlineLevel="1" x14ac:dyDescent="0.25">
      <c r="B18" s="113" t="s">
        <v>6</v>
      </c>
      <c r="C18" s="21">
        <f>1474110</f>
        <v>1474110</v>
      </c>
      <c r="D18" s="21">
        <f>0</f>
        <v>0</v>
      </c>
      <c r="E18" s="110" t="s">
        <v>89</v>
      </c>
      <c r="F18" s="110" t="s">
        <v>89</v>
      </c>
      <c r="G18" s="110" t="s">
        <v>89</v>
      </c>
      <c r="H18" s="110" t="s">
        <v>89</v>
      </c>
      <c r="I18" s="110" t="s">
        <v>89</v>
      </c>
      <c r="J18" s="30">
        <f t="shared" si="0"/>
        <v>0</v>
      </c>
      <c r="K18" s="30">
        <f t="shared" si="1"/>
        <v>0</v>
      </c>
      <c r="L18" s="26"/>
      <c r="M18" s="34"/>
      <c r="N18" s="34"/>
      <c r="O18" s="34"/>
      <c r="P18" s="34"/>
      <c r="Q18" s="34"/>
    </row>
    <row r="19" spans="2:17" ht="24" customHeight="1" outlineLevel="1" x14ac:dyDescent="0.25">
      <c r="B19" s="103" t="s">
        <v>11</v>
      </c>
      <c r="C19" s="21">
        <f>69349213.83</f>
        <v>69349213.829999998</v>
      </c>
      <c r="D19" s="21">
        <f>52961312.11</f>
        <v>52961312.109999999</v>
      </c>
      <c r="E19" s="110" t="s">
        <v>89</v>
      </c>
      <c r="F19" s="110" t="s">
        <v>89</v>
      </c>
      <c r="G19" s="110" t="s">
        <v>89</v>
      </c>
      <c r="H19" s="110" t="s">
        <v>89</v>
      </c>
      <c r="I19" s="110" t="s">
        <v>89</v>
      </c>
      <c r="J19" s="30">
        <f t="shared" si="0"/>
        <v>0.29854272887240091</v>
      </c>
      <c r="K19" s="30">
        <f t="shared" si="1"/>
        <v>76.369015861992793</v>
      </c>
      <c r="L19" s="26"/>
      <c r="M19" s="34"/>
      <c r="N19" s="34"/>
      <c r="O19" s="34"/>
      <c r="P19" s="34"/>
      <c r="Q19" s="34"/>
    </row>
    <row r="20" spans="2:17" ht="12.75" customHeight="1" outlineLevel="1" x14ac:dyDescent="0.25">
      <c r="B20" s="113" t="s">
        <v>6</v>
      </c>
      <c r="C20" s="21">
        <f>21236261.5</f>
        <v>21236261.5</v>
      </c>
      <c r="D20" s="21">
        <f>16770658.59</f>
        <v>16770658.59</v>
      </c>
      <c r="E20" s="110" t="s">
        <v>89</v>
      </c>
      <c r="F20" s="110" t="s">
        <v>89</v>
      </c>
      <c r="G20" s="110" t="s">
        <v>89</v>
      </c>
      <c r="H20" s="110" t="s">
        <v>89</v>
      </c>
      <c r="I20" s="110" t="s">
        <v>89</v>
      </c>
      <c r="J20" s="30">
        <f t="shared" si="0"/>
        <v>9.4536143100967654E-2</v>
      </c>
      <c r="K20" s="30">
        <f t="shared" si="1"/>
        <v>78.971802970122596</v>
      </c>
      <c r="L20" s="26"/>
      <c r="M20" s="34"/>
      <c r="N20" s="34"/>
      <c r="O20" s="34"/>
      <c r="P20" s="34"/>
      <c r="Q20" s="34"/>
    </row>
    <row r="21" spans="2:17" ht="33.75" customHeight="1" outlineLevel="1" x14ac:dyDescent="0.25">
      <c r="B21" s="103" t="s">
        <v>62</v>
      </c>
      <c r="C21" s="21">
        <f>233574064.94</f>
        <v>233574064.94</v>
      </c>
      <c r="D21" s="21">
        <f>157985274.2</f>
        <v>157985274.19999999</v>
      </c>
      <c r="E21" s="110" t="s">
        <v>89</v>
      </c>
      <c r="F21" s="110" t="s">
        <v>89</v>
      </c>
      <c r="G21" s="110" t="s">
        <v>89</v>
      </c>
      <c r="H21" s="110" t="s">
        <v>89</v>
      </c>
      <c r="I21" s="110" t="s">
        <v>89</v>
      </c>
      <c r="J21" s="30">
        <f t="shared" si="0"/>
        <v>0.8905624313718028</v>
      </c>
      <c r="K21" s="30">
        <f t="shared" si="1"/>
        <v>67.638191868854491</v>
      </c>
      <c r="L21" s="26"/>
      <c r="M21" s="34"/>
      <c r="N21" s="34"/>
      <c r="O21" s="34"/>
      <c r="P21" s="34"/>
      <c r="Q21" s="34"/>
    </row>
    <row r="22" spans="2:17" ht="12.75" customHeight="1" outlineLevel="1" x14ac:dyDescent="0.25">
      <c r="B22" s="113" t="s">
        <v>6</v>
      </c>
      <c r="C22" s="21">
        <f>173676862.72</f>
        <v>173676862.72</v>
      </c>
      <c r="D22" s="21">
        <f>112070404.8</f>
        <v>112070404.8</v>
      </c>
      <c r="E22" s="110" t="s">
        <v>89</v>
      </c>
      <c r="F22" s="110" t="s">
        <v>89</v>
      </c>
      <c r="G22" s="110" t="s">
        <v>89</v>
      </c>
      <c r="H22" s="110" t="s">
        <v>89</v>
      </c>
      <c r="I22" s="110" t="s">
        <v>89</v>
      </c>
      <c r="J22" s="30">
        <f t="shared" si="0"/>
        <v>0.63174047511011744</v>
      </c>
      <c r="K22" s="30">
        <f t="shared" si="1"/>
        <v>64.528114479289457</v>
      </c>
      <c r="L22" s="26"/>
      <c r="M22" s="34"/>
      <c r="N22" s="34"/>
      <c r="O22" s="34"/>
      <c r="P22" s="34"/>
      <c r="Q22" s="34"/>
    </row>
    <row r="23" spans="2:17" outlineLevel="1" x14ac:dyDescent="0.25">
      <c r="B23" s="103" t="s">
        <v>8</v>
      </c>
      <c r="C23" s="21">
        <f>70331990</f>
        <v>70331990</v>
      </c>
      <c r="D23" s="21">
        <f>52429068.92</f>
        <v>52429068.920000002</v>
      </c>
      <c r="E23" s="110" t="s">
        <v>89</v>
      </c>
      <c r="F23" s="110" t="s">
        <v>89</v>
      </c>
      <c r="G23" s="110" t="s">
        <v>89</v>
      </c>
      <c r="H23" s="110" t="s">
        <v>89</v>
      </c>
      <c r="I23" s="110" t="s">
        <v>89</v>
      </c>
      <c r="J23" s="30">
        <f t="shared" si="0"/>
        <v>0.29554247589459848</v>
      </c>
      <c r="K23" s="30">
        <f t="shared" si="1"/>
        <v>74.545123662788441</v>
      </c>
      <c r="L23" s="26"/>
      <c r="M23" s="34"/>
      <c r="N23" s="34"/>
      <c r="O23" s="34"/>
      <c r="P23" s="34"/>
      <c r="Q23" s="34"/>
    </row>
    <row r="24" spans="2:17" ht="12.75" customHeight="1" outlineLevel="1" x14ac:dyDescent="0.25">
      <c r="B24" s="113" t="s">
        <v>6</v>
      </c>
      <c r="C24" s="21">
        <f>18750000</f>
        <v>18750000</v>
      </c>
      <c r="D24" s="21">
        <f>13750000</f>
        <v>13750000</v>
      </c>
      <c r="E24" s="110" t="s">
        <v>89</v>
      </c>
      <c r="F24" s="110" t="s">
        <v>89</v>
      </c>
      <c r="G24" s="110" t="s">
        <v>89</v>
      </c>
      <c r="H24" s="110" t="s">
        <v>89</v>
      </c>
      <c r="I24" s="110" t="s">
        <v>89</v>
      </c>
      <c r="J24" s="30">
        <f t="shared" si="0"/>
        <v>7.7508701322760942E-2</v>
      </c>
      <c r="K24" s="30">
        <f t="shared" si="1"/>
        <v>73.333333333333329</v>
      </c>
      <c r="L24" s="26"/>
      <c r="M24" s="34"/>
      <c r="N24" s="34"/>
      <c r="O24" s="34"/>
      <c r="P24" s="34"/>
      <c r="Q24" s="34"/>
    </row>
    <row r="25" spans="2:17" ht="40" outlineLevel="1" x14ac:dyDescent="0.25">
      <c r="B25" s="103" t="s">
        <v>80</v>
      </c>
      <c r="C25" s="21">
        <f>0</f>
        <v>0</v>
      </c>
      <c r="D25" s="21">
        <f>0</f>
        <v>0</v>
      </c>
      <c r="E25" s="110" t="s">
        <v>89</v>
      </c>
      <c r="F25" s="110" t="s">
        <v>89</v>
      </c>
      <c r="G25" s="110" t="s">
        <v>89</v>
      </c>
      <c r="H25" s="110" t="s">
        <v>89</v>
      </c>
      <c r="I25" s="110" t="s">
        <v>89</v>
      </c>
      <c r="J25" s="30">
        <f t="shared" si="0"/>
        <v>0</v>
      </c>
      <c r="K25" s="30" t="str">
        <f t="shared" si="1"/>
        <v/>
      </c>
      <c r="L25" s="26"/>
      <c r="M25" s="34"/>
      <c r="N25" s="34"/>
      <c r="O25" s="34"/>
      <c r="P25" s="34"/>
      <c r="Q25" s="34"/>
    </row>
    <row r="26" spans="2:17" ht="12.75" customHeight="1" outlineLevel="1" x14ac:dyDescent="0.25">
      <c r="B26" s="113" t="s">
        <v>81</v>
      </c>
      <c r="C26" s="21">
        <f>0</f>
        <v>0</v>
      </c>
      <c r="D26" s="21">
        <f>0</f>
        <v>0</v>
      </c>
      <c r="E26" s="110" t="s">
        <v>89</v>
      </c>
      <c r="F26" s="110" t="s">
        <v>89</v>
      </c>
      <c r="G26" s="110" t="s">
        <v>89</v>
      </c>
      <c r="H26" s="110" t="s">
        <v>89</v>
      </c>
      <c r="I26" s="110" t="s">
        <v>89</v>
      </c>
      <c r="J26" s="30">
        <f t="shared" si="0"/>
        <v>0</v>
      </c>
      <c r="K26" s="30" t="str">
        <f t="shared" si="1"/>
        <v/>
      </c>
      <c r="L26" s="26"/>
      <c r="M26" s="34"/>
      <c r="N26" s="34"/>
      <c r="O26" s="34"/>
      <c r="P26" s="34"/>
      <c r="Q26" s="34"/>
    </row>
    <row r="27" spans="2:17" ht="40" outlineLevel="1" x14ac:dyDescent="0.25">
      <c r="B27" s="114" t="s">
        <v>79</v>
      </c>
      <c r="C27" s="67">
        <f>97221849</f>
        <v>97221849</v>
      </c>
      <c r="D27" s="67">
        <f>38031406.69</f>
        <v>38031406.689999998</v>
      </c>
      <c r="E27" s="110" t="s">
        <v>89</v>
      </c>
      <c r="F27" s="110" t="s">
        <v>89</v>
      </c>
      <c r="G27" s="110" t="s">
        <v>89</v>
      </c>
      <c r="H27" s="110" t="s">
        <v>89</v>
      </c>
      <c r="I27" s="110" t="s">
        <v>89</v>
      </c>
      <c r="J27" s="68">
        <f t="shared" si="0"/>
        <v>0.21438290487415726</v>
      </c>
      <c r="K27" s="68">
        <f t="shared" si="1"/>
        <v>39.118168478774763</v>
      </c>
      <c r="L27" s="26"/>
      <c r="M27" s="34"/>
      <c r="N27" s="34"/>
      <c r="O27" s="34"/>
      <c r="P27" s="34"/>
      <c r="Q27" s="34"/>
    </row>
    <row r="28" spans="2:17" ht="12.75" customHeight="1" outlineLevel="1" x14ac:dyDescent="0.25">
      <c r="B28" s="113" t="s">
        <v>6</v>
      </c>
      <c r="C28" s="21">
        <f>96978805</f>
        <v>96978805</v>
      </c>
      <c r="D28" s="21">
        <f>37757962.69</f>
        <v>37757962.689999998</v>
      </c>
      <c r="E28" s="110" t="s">
        <v>89</v>
      </c>
      <c r="F28" s="110" t="s">
        <v>89</v>
      </c>
      <c r="G28" s="110" t="s">
        <v>89</v>
      </c>
      <c r="H28" s="110" t="s">
        <v>89</v>
      </c>
      <c r="I28" s="110" t="s">
        <v>89</v>
      </c>
      <c r="J28" s="30">
        <f t="shared" si="0"/>
        <v>0.21284150201419355</v>
      </c>
      <c r="K28" s="30">
        <f t="shared" si="1"/>
        <v>38.934242064541834</v>
      </c>
      <c r="L28" s="26"/>
      <c r="M28" s="34"/>
      <c r="N28" s="34"/>
      <c r="O28" s="34"/>
      <c r="P28" s="34"/>
      <c r="Q28" s="34"/>
    </row>
    <row r="29" spans="2:17" ht="20" outlineLevel="1" x14ac:dyDescent="0.25">
      <c r="B29" s="114" t="s">
        <v>99</v>
      </c>
      <c r="C29" s="21">
        <f>16661986.11</f>
        <v>16661986.109999999</v>
      </c>
      <c r="D29" s="21">
        <f>21712525.95</f>
        <v>21712525.949999999</v>
      </c>
      <c r="E29" s="110" t="s">
        <v>89</v>
      </c>
      <c r="F29" s="110" t="s">
        <v>89</v>
      </c>
      <c r="G29" s="110" t="s">
        <v>89</v>
      </c>
      <c r="H29" s="110" t="s">
        <v>89</v>
      </c>
      <c r="I29" s="110" t="s">
        <v>89</v>
      </c>
      <c r="J29" s="30">
        <f t="shared" si="0"/>
        <v>0.12239343191427246</v>
      </c>
      <c r="K29" s="30">
        <f t="shared" si="1"/>
        <v>130.31175159225961</v>
      </c>
      <c r="L29" s="26"/>
      <c r="M29" s="34"/>
      <c r="N29" s="34"/>
      <c r="O29" s="34"/>
      <c r="P29" s="34"/>
      <c r="Q29" s="34"/>
    </row>
    <row r="30" spans="2:17" ht="12.75" customHeight="1" outlineLevel="1" x14ac:dyDescent="0.25">
      <c r="B30" s="113" t="s">
        <v>6</v>
      </c>
      <c r="C30" s="21">
        <f>0</f>
        <v>0</v>
      </c>
      <c r="D30" s="21">
        <f>0</f>
        <v>0</v>
      </c>
      <c r="E30" s="110" t="s">
        <v>89</v>
      </c>
      <c r="F30" s="110" t="s">
        <v>89</v>
      </c>
      <c r="G30" s="110" t="s">
        <v>89</v>
      </c>
      <c r="H30" s="110" t="s">
        <v>89</v>
      </c>
      <c r="I30" s="110" t="s">
        <v>89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5">
      <c r="B31" s="102" t="s">
        <v>54</v>
      </c>
      <c r="C31" s="55">
        <f>1092604152.22</f>
        <v>1092604152.22</v>
      </c>
      <c r="D31" s="55">
        <f>656499282.02</f>
        <v>656499282.01999998</v>
      </c>
      <c r="E31" s="94" t="s">
        <v>89</v>
      </c>
      <c r="F31" s="94" t="s">
        <v>89</v>
      </c>
      <c r="G31" s="94" t="s">
        <v>89</v>
      </c>
      <c r="H31" s="94" t="s">
        <v>89</v>
      </c>
      <c r="I31" s="94" t="s">
        <v>89</v>
      </c>
      <c r="J31" s="56">
        <f t="shared" si="0"/>
        <v>3.7006841286323771</v>
      </c>
      <c r="K31" s="56">
        <f t="shared" si="1"/>
        <v>60.085739257543231</v>
      </c>
      <c r="L31" s="26"/>
      <c r="M31" s="34"/>
      <c r="N31" s="34"/>
      <c r="O31" s="34"/>
      <c r="P31" s="34"/>
      <c r="Q31" s="34"/>
    </row>
    <row r="32" spans="2:17" ht="12.75" customHeight="1" outlineLevel="1" x14ac:dyDescent="0.25">
      <c r="B32" s="104" t="s">
        <v>55</v>
      </c>
      <c r="C32" s="20">
        <f>543810394</f>
        <v>543810394</v>
      </c>
      <c r="D32" s="20">
        <f>286164078.77</f>
        <v>286164078.76999998</v>
      </c>
      <c r="E32" s="110" t="s">
        <v>89</v>
      </c>
      <c r="F32" s="110" t="s">
        <v>89</v>
      </c>
      <c r="G32" s="110" t="s">
        <v>89</v>
      </c>
      <c r="H32" s="110" t="s">
        <v>89</v>
      </c>
      <c r="I32" s="110" t="s">
        <v>89</v>
      </c>
      <c r="J32" s="30">
        <f t="shared" si="0"/>
        <v>1.6131058989590521</v>
      </c>
      <c r="K32" s="30">
        <f t="shared" si="1"/>
        <v>52.622031856566537</v>
      </c>
      <c r="L32" s="26"/>
      <c r="M32" s="34"/>
      <c r="N32" s="34"/>
      <c r="O32" s="34"/>
      <c r="P32" s="34"/>
      <c r="Q32" s="34"/>
    </row>
    <row r="33" spans="1:26" ht="14.25" customHeight="1" outlineLevel="1" x14ac:dyDescent="0.25">
      <c r="B33" s="102" t="s">
        <v>68</v>
      </c>
      <c r="C33" s="55">
        <f>4160233639.68</f>
        <v>4160233639.6799998</v>
      </c>
      <c r="D33" s="55">
        <f>2399931128.59</f>
        <v>2399931128.5900002</v>
      </c>
      <c r="E33" s="94" t="s">
        <v>89</v>
      </c>
      <c r="F33" s="94" t="s">
        <v>89</v>
      </c>
      <c r="G33" s="94" t="s">
        <v>89</v>
      </c>
      <c r="H33" s="94" t="s">
        <v>89</v>
      </c>
      <c r="I33" s="94" t="s">
        <v>89</v>
      </c>
      <c r="J33" s="59">
        <f t="shared" si="0"/>
        <v>13.52840327571483</v>
      </c>
      <c r="K33" s="59">
        <f t="shared" si="1"/>
        <v>57.687412209247938</v>
      </c>
      <c r="L33" s="26"/>
      <c r="M33" s="34"/>
      <c r="N33" s="34"/>
      <c r="O33" s="34"/>
      <c r="P33" s="34"/>
      <c r="Q33" s="34"/>
    </row>
    <row r="34" spans="1:26" ht="12.75" customHeight="1" outlineLevel="1" x14ac:dyDescent="0.25">
      <c r="B34" s="104" t="s">
        <v>69</v>
      </c>
      <c r="C34" s="20">
        <f>2439572779.63</f>
        <v>2439572779.6300001</v>
      </c>
      <c r="D34" s="20">
        <f>1248204650.83</f>
        <v>1248204650.8299999</v>
      </c>
      <c r="E34" s="110" t="s">
        <v>89</v>
      </c>
      <c r="F34" s="110" t="s">
        <v>89</v>
      </c>
      <c r="G34" s="110" t="s">
        <v>89</v>
      </c>
      <c r="H34" s="110" t="s">
        <v>89</v>
      </c>
      <c r="I34" s="110" t="s">
        <v>89</v>
      </c>
      <c r="J34" s="30">
        <f t="shared" si="0"/>
        <v>7.0361251978809882</v>
      </c>
      <c r="K34" s="30">
        <f t="shared" si="1"/>
        <v>51.164886788879073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5">
      <c r="B35" s="96" t="s">
        <v>44</v>
      </c>
      <c r="C35" s="22">
        <f>C36+C37+C38+C39</f>
        <v>4254544267</v>
      </c>
      <c r="D35" s="22">
        <f>D36+D37+D38+D39</f>
        <v>3310565902</v>
      </c>
      <c r="E35" s="94" t="s">
        <v>89</v>
      </c>
      <c r="F35" s="94" t="s">
        <v>89</v>
      </c>
      <c r="G35" s="94" t="s">
        <v>89</v>
      </c>
      <c r="H35" s="94" t="s">
        <v>89</v>
      </c>
      <c r="I35" s="94" t="s">
        <v>89</v>
      </c>
      <c r="J35" s="29">
        <f t="shared" si="0"/>
        <v>18.661648269631613</v>
      </c>
      <c r="K35" s="29">
        <f t="shared" si="1"/>
        <v>77.812468133851951</v>
      </c>
      <c r="L35" s="27"/>
      <c r="M35" s="48"/>
      <c r="N35" s="48"/>
      <c r="O35" s="48"/>
      <c r="P35" s="48"/>
      <c r="Q35" s="48"/>
    </row>
    <row r="36" spans="1:26" ht="12.75" customHeight="1" outlineLevel="1" x14ac:dyDescent="0.25">
      <c r="B36" s="60" t="s">
        <v>30</v>
      </c>
      <c r="C36" s="21">
        <f>692482437</f>
        <v>692482437</v>
      </c>
      <c r="D36" s="21">
        <f>583570677</f>
        <v>583570677</v>
      </c>
      <c r="E36" s="110" t="s">
        <v>89</v>
      </c>
      <c r="F36" s="110" t="s">
        <v>89</v>
      </c>
      <c r="G36" s="110" t="s">
        <v>89</v>
      </c>
      <c r="H36" s="110" t="s">
        <v>89</v>
      </c>
      <c r="I36" s="110" t="s">
        <v>89</v>
      </c>
      <c r="J36" s="30">
        <f t="shared" si="0"/>
        <v>3.2895858403137748</v>
      </c>
      <c r="K36" s="30">
        <f t="shared" si="1"/>
        <v>84.272271153643715</v>
      </c>
      <c r="L36" s="27"/>
      <c r="M36" s="34"/>
      <c r="N36" s="34"/>
      <c r="O36" s="34"/>
      <c r="P36" s="34"/>
      <c r="Q36" s="34"/>
    </row>
    <row r="37" spans="1:26" ht="12.75" customHeight="1" outlineLevel="1" x14ac:dyDescent="0.25">
      <c r="B37" s="60" t="s">
        <v>41</v>
      </c>
      <c r="C37" s="21">
        <f>884998923</f>
        <v>884998923</v>
      </c>
      <c r="D37" s="21">
        <f>663749199</f>
        <v>663749199</v>
      </c>
      <c r="E37" s="110" t="s">
        <v>89</v>
      </c>
      <c r="F37" s="110" t="s">
        <v>89</v>
      </c>
      <c r="G37" s="110" t="s">
        <v>89</v>
      </c>
      <c r="H37" s="110" t="s">
        <v>89</v>
      </c>
      <c r="I37" s="110" t="s">
        <v>89</v>
      </c>
      <c r="J37" s="30">
        <f t="shared" si="0"/>
        <v>3.7415518849827505</v>
      </c>
      <c r="K37" s="30">
        <f t="shared" si="1"/>
        <v>75.000000762712787</v>
      </c>
      <c r="L37" s="27"/>
      <c r="M37" s="34"/>
      <c r="N37" s="34"/>
      <c r="O37" s="34"/>
      <c r="P37" s="34"/>
      <c r="Q37" s="34"/>
    </row>
    <row r="38" spans="1:26" ht="12.75" customHeight="1" outlineLevel="1" x14ac:dyDescent="0.25">
      <c r="B38" s="60" t="s">
        <v>31</v>
      </c>
      <c r="C38" s="21">
        <f>2319661345</f>
        <v>2319661345</v>
      </c>
      <c r="D38" s="21">
        <f>1739746026</f>
        <v>1739746026</v>
      </c>
      <c r="E38" s="110" t="s">
        <v>89</v>
      </c>
      <c r="F38" s="110" t="s">
        <v>89</v>
      </c>
      <c r="G38" s="110" t="s">
        <v>89</v>
      </c>
      <c r="H38" s="110" t="s">
        <v>89</v>
      </c>
      <c r="I38" s="110" t="s">
        <v>89</v>
      </c>
      <c r="J38" s="30">
        <f t="shared" si="0"/>
        <v>9.8069421895777662</v>
      </c>
      <c r="K38" s="30">
        <f t="shared" si="1"/>
        <v>75.000000743643028</v>
      </c>
      <c r="L38" s="27"/>
      <c r="M38" s="34"/>
      <c r="N38" s="34"/>
      <c r="O38" s="34"/>
      <c r="P38" s="34"/>
      <c r="Q38" s="34"/>
    </row>
    <row r="39" spans="1:26" s="5" customFormat="1" ht="12.75" customHeight="1" outlineLevel="1" x14ac:dyDescent="0.25">
      <c r="B39" s="60" t="s">
        <v>29</v>
      </c>
      <c r="C39" s="21">
        <f>357401562</f>
        <v>357401562</v>
      </c>
      <c r="D39" s="21">
        <f>323500000</f>
        <v>323500000</v>
      </c>
      <c r="E39" s="110" t="s">
        <v>89</v>
      </c>
      <c r="F39" s="110" t="s">
        <v>89</v>
      </c>
      <c r="G39" s="110" t="s">
        <v>89</v>
      </c>
      <c r="H39" s="110" t="s">
        <v>89</v>
      </c>
      <c r="I39" s="110" t="s">
        <v>89</v>
      </c>
      <c r="J39" s="30">
        <f t="shared" si="0"/>
        <v>1.8235683547573212</v>
      </c>
      <c r="K39" s="30">
        <f t="shared" si="1"/>
        <v>90.514433733784301</v>
      </c>
      <c r="L39" s="27"/>
      <c r="M39" s="48"/>
      <c r="N39" s="48"/>
      <c r="O39" s="48"/>
      <c r="P39" s="48"/>
      <c r="Q39" s="48"/>
    </row>
    <row r="40" spans="1:26" s="5" customFormat="1" ht="13" x14ac:dyDescent="0.25">
      <c r="B40" s="98" t="s">
        <v>96</v>
      </c>
      <c r="C40" s="55">
        <f>+C5</f>
        <v>24696365999.5</v>
      </c>
      <c r="D40" s="55">
        <f>+D5</f>
        <v>17739943729.34</v>
      </c>
      <c r="E40" s="94" t="s">
        <v>89</v>
      </c>
      <c r="F40" s="94" t="s">
        <v>89</v>
      </c>
      <c r="G40" s="94" t="s">
        <v>89</v>
      </c>
      <c r="H40" s="94" t="s">
        <v>89</v>
      </c>
      <c r="I40" s="94" t="s">
        <v>89</v>
      </c>
      <c r="J40" s="59">
        <f>IF($D$5=0,"",100*$D40/$D$40)</f>
        <v>100</v>
      </c>
      <c r="K40" s="91">
        <f t="shared" si="1"/>
        <v>71.832202882396388</v>
      </c>
      <c r="L40" s="93"/>
      <c r="M40" s="48"/>
      <c r="N40" s="48"/>
      <c r="O40" s="48"/>
      <c r="P40" s="48"/>
      <c r="Q40" s="48"/>
    </row>
    <row r="41" spans="1:26" s="5" customFormat="1" ht="13" x14ac:dyDescent="0.25">
      <c r="B41" s="99" t="s">
        <v>57</v>
      </c>
      <c r="C41" s="21">
        <f>3883105847.91</f>
        <v>3883105847.9099998</v>
      </c>
      <c r="D41" s="21">
        <f>1972889485.33</f>
        <v>1972889485.3299999</v>
      </c>
      <c r="E41" s="110" t="s">
        <v>89</v>
      </c>
      <c r="F41" s="110" t="s">
        <v>89</v>
      </c>
      <c r="G41" s="110" t="s">
        <v>89</v>
      </c>
      <c r="H41" s="110" t="s">
        <v>89</v>
      </c>
      <c r="I41" s="110" t="s">
        <v>89</v>
      </c>
      <c r="J41" s="30">
        <f>IF($D$5=0,"",100*$D41/$D$40)</f>
        <v>11.121171044455165</v>
      </c>
      <c r="K41" s="92">
        <f t="shared" si="1"/>
        <v>50.806997352180503</v>
      </c>
      <c r="L41" s="93"/>
      <c r="M41" s="48"/>
      <c r="N41" s="48"/>
      <c r="O41" s="48"/>
      <c r="P41" s="48"/>
      <c r="Q41" s="48"/>
    </row>
    <row r="42" spans="1:26" s="5" customFormat="1" ht="13" x14ac:dyDescent="0.25">
      <c r="A42" s="2"/>
      <c r="B42" s="99" t="s">
        <v>58</v>
      </c>
      <c r="C42" s="21">
        <f>C40-C41</f>
        <v>20813260151.59</v>
      </c>
      <c r="D42" s="21">
        <f>D40-D41</f>
        <v>15767054244.01</v>
      </c>
      <c r="E42" s="110" t="s">
        <v>89</v>
      </c>
      <c r="F42" s="110" t="s">
        <v>89</v>
      </c>
      <c r="G42" s="110" t="s">
        <v>89</v>
      </c>
      <c r="H42" s="110" t="s">
        <v>89</v>
      </c>
      <c r="I42" s="110" t="s">
        <v>89</v>
      </c>
      <c r="J42" s="30">
        <f>IF($D$5=0,"",100*$D42/$D$40)</f>
        <v>88.878828955544833</v>
      </c>
      <c r="K42" s="92">
        <f t="shared" si="1"/>
        <v>75.754851134196286</v>
      </c>
      <c r="L42" s="93"/>
      <c r="M42" s="49"/>
      <c r="N42" s="49"/>
      <c r="O42" s="50"/>
      <c r="P42" s="50"/>
      <c r="Q42" s="19"/>
    </row>
    <row r="43" spans="1:26" s="5" customFormat="1" x14ac:dyDescent="0.25">
      <c r="A43" s="2"/>
      <c r="B43" s="119" t="s">
        <v>100</v>
      </c>
      <c r="C43" s="87"/>
      <c r="D43" s="87"/>
      <c r="E43" s="118"/>
      <c r="F43" s="118"/>
      <c r="G43" s="118"/>
      <c r="H43" s="118"/>
      <c r="I43" s="118"/>
      <c r="J43" s="58"/>
      <c r="K43" s="58"/>
      <c r="L43" s="58"/>
      <c r="M43" s="49"/>
      <c r="N43" s="49"/>
      <c r="O43" s="50"/>
      <c r="P43" s="50"/>
      <c r="Q43" s="19"/>
    </row>
    <row r="44" spans="1:26" ht="18" customHeight="1" x14ac:dyDescent="0.25">
      <c r="B44" s="100" t="str">
        <f>CONCATENATE("Informacja z wykonania budżetów województw za ",$D$100," ",$C$101," rok    ",$C$103,"")</f>
        <v xml:space="preserve">Informacja z wykonania budżetów województw za III Kwartały 2022 rok    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26" s="5" customFormat="1" ht="10.5" customHeight="1" x14ac:dyDescent="0.25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5">
      <c r="B46" s="120" t="s">
        <v>0</v>
      </c>
      <c r="C46" s="121" t="s">
        <v>37</v>
      </c>
      <c r="D46" s="121" t="s">
        <v>39</v>
      </c>
      <c r="E46" s="121" t="s">
        <v>38</v>
      </c>
      <c r="F46" s="121" t="s">
        <v>12</v>
      </c>
      <c r="G46" s="121"/>
      <c r="H46" s="121"/>
      <c r="I46" s="133" t="s">
        <v>70</v>
      </c>
      <c r="J46" s="121" t="s">
        <v>2</v>
      </c>
      <c r="K46" s="138" t="s">
        <v>18</v>
      </c>
      <c r="M46" s="10"/>
      <c r="N46" s="4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5">
      <c r="B47" s="120"/>
      <c r="C47" s="121"/>
      <c r="D47" s="121"/>
      <c r="E47" s="123"/>
      <c r="F47" s="122" t="s">
        <v>40</v>
      </c>
      <c r="G47" s="141" t="s">
        <v>25</v>
      </c>
      <c r="H47" s="123"/>
      <c r="I47" s="134"/>
      <c r="J47" s="121"/>
      <c r="K47" s="138"/>
      <c r="L47" s="11"/>
      <c r="M47" s="12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5.5" customHeight="1" x14ac:dyDescent="0.25">
      <c r="B48" s="120"/>
      <c r="C48" s="121"/>
      <c r="D48" s="121"/>
      <c r="E48" s="123"/>
      <c r="F48" s="123"/>
      <c r="G48" s="15" t="s">
        <v>35</v>
      </c>
      <c r="H48" s="15" t="s">
        <v>36</v>
      </c>
      <c r="I48" s="135"/>
      <c r="J48" s="121"/>
      <c r="K48" s="138"/>
      <c r="L48" s="11"/>
      <c r="M48" s="10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5">
      <c r="B49" s="120"/>
      <c r="C49" s="130" t="s">
        <v>61</v>
      </c>
      <c r="D49" s="131"/>
      <c r="E49" s="131"/>
      <c r="F49" s="131"/>
      <c r="G49" s="131"/>
      <c r="H49" s="131"/>
      <c r="I49" s="132"/>
      <c r="J49" s="137" t="s">
        <v>4</v>
      </c>
      <c r="K49" s="13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5">
      <c r="B50" s="14">
        <v>1</v>
      </c>
      <c r="C50" s="16">
        <v>2</v>
      </c>
      <c r="D50" s="16">
        <v>3</v>
      </c>
      <c r="E50" s="16">
        <v>4</v>
      </c>
      <c r="F50" s="14">
        <v>5</v>
      </c>
      <c r="G50" s="14">
        <v>6</v>
      </c>
      <c r="H50" s="16">
        <v>7</v>
      </c>
      <c r="I50" s="16">
        <v>8</v>
      </c>
      <c r="J50" s="14">
        <v>9</v>
      </c>
      <c r="K50" s="16">
        <v>10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7" customHeight="1" x14ac:dyDescent="0.25">
      <c r="B51" s="95" t="s">
        <v>45</v>
      </c>
      <c r="C51" s="61">
        <f>26914343420.18</f>
        <v>26914343420.18</v>
      </c>
      <c r="D51" s="72">
        <f>14492073661.93</f>
        <v>14492073661.93</v>
      </c>
      <c r="E51" s="72">
        <f>21946844815.46</f>
        <v>21946844815.459999</v>
      </c>
      <c r="F51" s="61">
        <f>452938002.44</f>
        <v>452938002.44</v>
      </c>
      <c r="G51" s="61">
        <f>0</f>
        <v>0</v>
      </c>
      <c r="H51" s="61">
        <f>613213.55</f>
        <v>613213.55000000005</v>
      </c>
      <c r="I51" s="73">
        <f>0</f>
        <v>0</v>
      </c>
      <c r="J51" s="47">
        <f>IF($D$51=0,"",100*$D51/$D$51)</f>
        <v>100</v>
      </c>
      <c r="K51" s="47">
        <f>IF(C51=0,"",100*D51/C51)</f>
        <v>53.845168859159479</v>
      </c>
      <c r="L51" s="34"/>
      <c r="O51" s="88"/>
    </row>
    <row r="52" spans="2:26" ht="13" x14ac:dyDescent="0.25">
      <c r="B52" s="96" t="s">
        <v>14</v>
      </c>
      <c r="C52" s="23">
        <f>10012601737.95</f>
        <v>10012601737.950001</v>
      </c>
      <c r="D52" s="23">
        <f>3750190739.44</f>
        <v>3750190739.4400001</v>
      </c>
      <c r="E52" s="23">
        <f>7927743760.9</f>
        <v>7927743760.8999996</v>
      </c>
      <c r="F52" s="23">
        <f>202043925.74</f>
        <v>202043925.74000001</v>
      </c>
      <c r="G52" s="23">
        <f>0</f>
        <v>0</v>
      </c>
      <c r="H52" s="23">
        <f>579612.18</f>
        <v>579612.18000000005</v>
      </c>
      <c r="I52" s="74">
        <f>0</f>
        <v>0</v>
      </c>
      <c r="J52" s="47">
        <f t="shared" ref="J52:J60" si="2">IF($D$51=0,"",100*$D52/$D$51)</f>
        <v>25.877530206678259</v>
      </c>
      <c r="K52" s="47">
        <f t="shared" ref="K52:K60" si="3">IF(C52=0,"",100*D52/C52)</f>
        <v>37.454707952938328</v>
      </c>
      <c r="L52" s="34"/>
      <c r="O52" s="81"/>
    </row>
    <row r="53" spans="2:26" ht="12.75" customHeight="1" outlineLevel="1" x14ac:dyDescent="0.25">
      <c r="B53" s="28" t="s">
        <v>13</v>
      </c>
      <c r="C53" s="20">
        <f>9576558042.95</f>
        <v>9576558042.9500008</v>
      </c>
      <c r="D53" s="20">
        <f>3505597206.7</f>
        <v>3505597206.6999998</v>
      </c>
      <c r="E53" s="20">
        <f>7641311183.16</f>
        <v>7641311183.1599998</v>
      </c>
      <c r="F53" s="20">
        <f>202043925.74</f>
        <v>202043925.74000001</v>
      </c>
      <c r="G53" s="20">
        <f>0</f>
        <v>0</v>
      </c>
      <c r="H53" s="20">
        <f>579612.18</f>
        <v>579612.18000000005</v>
      </c>
      <c r="I53" s="75">
        <f>0</f>
        <v>0</v>
      </c>
      <c r="J53" s="47">
        <f t="shared" si="2"/>
        <v>24.189755644901528</v>
      </c>
      <c r="K53" s="47">
        <f t="shared" si="3"/>
        <v>36.60602474268638</v>
      </c>
      <c r="L53" s="34"/>
      <c r="O53" s="87"/>
    </row>
    <row r="54" spans="2:26" ht="27" customHeight="1" x14ac:dyDescent="0.25">
      <c r="B54" s="96" t="s">
        <v>46</v>
      </c>
      <c r="C54" s="23">
        <f t="shared" ref="C54:I54" si="4">C51-C52</f>
        <v>16901741682.23</v>
      </c>
      <c r="D54" s="23">
        <f>D51-D52</f>
        <v>10741882922.49</v>
      </c>
      <c r="E54" s="23">
        <f>E51-E52</f>
        <v>14019101054.559999</v>
      </c>
      <c r="F54" s="23">
        <f t="shared" si="4"/>
        <v>250894076.69999999</v>
      </c>
      <c r="G54" s="23">
        <f t="shared" si="4"/>
        <v>0</v>
      </c>
      <c r="H54" s="23">
        <f t="shared" si="4"/>
        <v>33601.369999999995</v>
      </c>
      <c r="I54" s="74">
        <f t="shared" si="4"/>
        <v>0</v>
      </c>
      <c r="J54" s="47">
        <f t="shared" si="2"/>
        <v>74.122469793321741</v>
      </c>
      <c r="K54" s="47">
        <f t="shared" si="3"/>
        <v>63.554887563946764</v>
      </c>
      <c r="L54" s="34"/>
      <c r="O54" s="81"/>
    </row>
    <row r="55" spans="2:26" outlineLevel="1" x14ac:dyDescent="0.25">
      <c r="B55" s="28" t="s">
        <v>82</v>
      </c>
      <c r="C55" s="20">
        <f>4056204735.46</f>
        <v>4056204735.46</v>
      </c>
      <c r="D55" s="20">
        <f>2775905151.82</f>
        <v>2775905151.8200002</v>
      </c>
      <c r="E55" s="20">
        <f>3679350888.41</f>
        <v>3679350888.4099998</v>
      </c>
      <c r="F55" s="20">
        <f>49367217.64</f>
        <v>49367217.640000001</v>
      </c>
      <c r="G55" s="20">
        <f>0</f>
        <v>0</v>
      </c>
      <c r="H55" s="20">
        <f>0</f>
        <v>0</v>
      </c>
      <c r="I55" s="75">
        <f>0</f>
        <v>0</v>
      </c>
      <c r="J55" s="47">
        <f t="shared" si="2"/>
        <v>19.154644232261756</v>
      </c>
      <c r="K55" s="47">
        <f t="shared" si="3"/>
        <v>68.436021671997636</v>
      </c>
      <c r="L55" s="34"/>
      <c r="O55" s="87"/>
    </row>
    <row r="56" spans="2:26" ht="12.75" customHeight="1" outlineLevel="1" x14ac:dyDescent="0.25">
      <c r="B56" s="60" t="s">
        <v>34</v>
      </c>
      <c r="C56" s="62">
        <f>6627748062.39</f>
        <v>6627748062.3900003</v>
      </c>
      <c r="D56" s="62">
        <f>4671277532.82</f>
        <v>4671277532.8199997</v>
      </c>
      <c r="E56" s="62">
        <f>5959547196.83</f>
        <v>5959547196.8299999</v>
      </c>
      <c r="F56" s="62">
        <f>162708.24</f>
        <v>162708.24</v>
      </c>
      <c r="G56" s="62">
        <f>0</f>
        <v>0</v>
      </c>
      <c r="H56" s="62">
        <f>0</f>
        <v>0</v>
      </c>
      <c r="I56" s="76">
        <f>0</f>
        <v>0</v>
      </c>
      <c r="J56" s="47">
        <f t="shared" si="2"/>
        <v>32.233327278008723</v>
      </c>
      <c r="K56" s="47">
        <f t="shared" si="3"/>
        <v>70.480614061475251</v>
      </c>
      <c r="L56" s="34"/>
      <c r="O56" s="81"/>
    </row>
    <row r="57" spans="2:26" ht="12.75" customHeight="1" outlineLevel="1" x14ac:dyDescent="0.25">
      <c r="B57" s="60" t="s">
        <v>33</v>
      </c>
      <c r="C57" s="21">
        <f>269189581.08</f>
        <v>269189581.07999998</v>
      </c>
      <c r="D57" s="21">
        <f>144508888.12</f>
        <v>144508888.12</v>
      </c>
      <c r="E57" s="21">
        <f>192393342.22</f>
        <v>192393342.22</v>
      </c>
      <c r="F57" s="21">
        <f>17711703.75</f>
        <v>17711703.75</v>
      </c>
      <c r="G57" s="21">
        <f>0</f>
        <v>0</v>
      </c>
      <c r="H57" s="21">
        <f>0</f>
        <v>0</v>
      </c>
      <c r="I57" s="77">
        <f>0</f>
        <v>0</v>
      </c>
      <c r="J57" s="47">
        <f t="shared" si="2"/>
        <v>0.99715811202104288</v>
      </c>
      <c r="K57" s="47">
        <f t="shared" si="3"/>
        <v>53.682942534486003</v>
      </c>
      <c r="L57" s="34"/>
      <c r="O57" s="87"/>
    </row>
    <row r="58" spans="2:26" ht="22.5" customHeight="1" outlineLevel="1" x14ac:dyDescent="0.25">
      <c r="B58" s="60" t="s">
        <v>52</v>
      </c>
      <c r="C58" s="62">
        <f>69155212.03</f>
        <v>69155212.030000001</v>
      </c>
      <c r="D58" s="62">
        <f>13615958.72</f>
        <v>13615958.720000001</v>
      </c>
      <c r="E58" s="62">
        <f>19806067.51</f>
        <v>19806067.510000002</v>
      </c>
      <c r="F58" s="62">
        <f>0</f>
        <v>0</v>
      </c>
      <c r="G58" s="62">
        <f>0</f>
        <v>0</v>
      </c>
      <c r="H58" s="62">
        <f>0</f>
        <v>0</v>
      </c>
      <c r="I58" s="76">
        <f>0</f>
        <v>0</v>
      </c>
      <c r="J58" s="47">
        <f t="shared" si="2"/>
        <v>9.3954523263075088E-2</v>
      </c>
      <c r="K58" s="47">
        <f t="shared" si="3"/>
        <v>19.688984127607483</v>
      </c>
      <c r="L58" s="34"/>
      <c r="O58" s="81"/>
    </row>
    <row r="59" spans="2:26" outlineLevel="1" x14ac:dyDescent="0.25">
      <c r="B59" s="60" t="s">
        <v>53</v>
      </c>
      <c r="C59" s="62">
        <f>200556413.8</f>
        <v>200556413.80000001</v>
      </c>
      <c r="D59" s="62">
        <f>109905415.69</f>
        <v>109905415.69</v>
      </c>
      <c r="E59" s="62">
        <f>152946441.87</f>
        <v>152946441.87</v>
      </c>
      <c r="F59" s="62">
        <f>820434.33</f>
        <v>820434.33</v>
      </c>
      <c r="G59" s="62">
        <f>0</f>
        <v>0</v>
      </c>
      <c r="H59" s="62">
        <f>0</f>
        <v>0</v>
      </c>
      <c r="I59" s="69">
        <f>0</f>
        <v>0</v>
      </c>
      <c r="J59" s="47">
        <f t="shared" si="2"/>
        <v>0.75838294956170682</v>
      </c>
      <c r="K59" s="47">
        <f t="shared" si="3"/>
        <v>54.80024976892561</v>
      </c>
      <c r="L59" s="34"/>
      <c r="O59" s="81"/>
    </row>
    <row r="60" spans="2:26" ht="12.75" customHeight="1" outlineLevel="1" x14ac:dyDescent="0.25">
      <c r="B60" s="60" t="s">
        <v>32</v>
      </c>
      <c r="C60" s="21">
        <f t="shared" ref="C60:I60" si="5">C54-C55-C56-C57-C58-C59</f>
        <v>5678887677.4700003</v>
      </c>
      <c r="D60" s="21">
        <f>D54-D55-D56-D57-D58-D59</f>
        <v>3026669975.3200006</v>
      </c>
      <c r="E60" s="78">
        <f>E54-E55-E56-E57-E58-E59</f>
        <v>4015057117.7199998</v>
      </c>
      <c r="F60" s="78">
        <f t="shared" si="5"/>
        <v>182832012.73999998</v>
      </c>
      <c r="G60" s="78">
        <f t="shared" si="5"/>
        <v>0</v>
      </c>
      <c r="H60" s="78">
        <f t="shared" si="5"/>
        <v>33601.369999999995</v>
      </c>
      <c r="I60" s="79">
        <f t="shared" si="5"/>
        <v>0</v>
      </c>
      <c r="J60" s="80">
        <f t="shared" si="2"/>
        <v>20.88500269820544</v>
      </c>
      <c r="K60" s="47">
        <f t="shared" si="3"/>
        <v>53.296880431845615</v>
      </c>
      <c r="L60" s="34"/>
      <c r="O60" s="87"/>
    </row>
    <row r="61" spans="2:26" ht="13" x14ac:dyDescent="0.25">
      <c r="B61" s="17" t="s">
        <v>15</v>
      </c>
      <c r="C61" s="115">
        <f>C5-C51</f>
        <v>-2217977420.6800003</v>
      </c>
      <c r="D61" s="115">
        <f>D5-D51</f>
        <v>3247870067.4099998</v>
      </c>
      <c r="E61" s="84"/>
      <c r="F61" s="85"/>
      <c r="G61" s="85"/>
      <c r="H61" s="85"/>
      <c r="I61" s="136"/>
      <c r="J61" s="136"/>
      <c r="K61" s="25"/>
      <c r="L61" s="25"/>
      <c r="M61" s="51"/>
    </row>
    <row r="62" spans="2:26" ht="39" x14ac:dyDescent="0.25">
      <c r="B62" s="97" t="s">
        <v>97</v>
      </c>
      <c r="C62" s="115">
        <f>+C42-C54</f>
        <v>3911518469.3600006</v>
      </c>
      <c r="D62" s="115">
        <f>+D42-D54</f>
        <v>5025171321.5200005</v>
      </c>
      <c r="E62" s="83"/>
      <c r="F62" s="82"/>
      <c r="G62" s="82"/>
      <c r="H62" s="82"/>
      <c r="I62" s="143"/>
      <c r="J62" s="144"/>
      <c r="K62" s="34"/>
      <c r="L62" s="52"/>
      <c r="M62" s="52"/>
    </row>
    <row r="63" spans="2:26" ht="13.5" customHeight="1" x14ac:dyDescent="0.25">
      <c r="B63" s="53"/>
      <c r="C63" s="54"/>
      <c r="D63" s="54"/>
      <c r="E63" s="54"/>
      <c r="F63" s="18"/>
      <c r="G63" s="18"/>
      <c r="H63" s="18"/>
      <c r="I63" s="18"/>
      <c r="J63" s="34"/>
      <c r="K63" s="34"/>
      <c r="L63" s="52"/>
      <c r="M63" s="52"/>
    </row>
    <row r="64" spans="2:26" ht="12" customHeight="1" x14ac:dyDescent="0.25">
      <c r="B64" s="116" t="s">
        <v>101</v>
      </c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27" customHeight="1" x14ac:dyDescent="0.25">
      <c r="B65" s="117" t="s">
        <v>71</v>
      </c>
      <c r="C65" s="115">
        <f>6941946909.95</f>
        <v>6941946909.9499998</v>
      </c>
      <c r="D65" s="115">
        <f>3347162138.84</f>
        <v>3347162138.8400002</v>
      </c>
      <c r="E65" s="23">
        <f>5447449534.09</f>
        <v>5447449534.0900002</v>
      </c>
      <c r="F65" s="23">
        <f>130917404.42</f>
        <v>130917404.42</v>
      </c>
      <c r="G65" s="23">
        <f>0</f>
        <v>0</v>
      </c>
      <c r="H65" s="23">
        <f>558281.68</f>
        <v>558281.68000000005</v>
      </c>
      <c r="I65" s="86">
        <f>0</f>
        <v>0</v>
      </c>
      <c r="J65" s="32">
        <f>IF($D$65=0,"",100*$D65/$D$65)</f>
        <v>100</v>
      </c>
      <c r="K65" s="32">
        <f>IF(C65=0,"",100*D65/C65)</f>
        <v>48.216475612086008</v>
      </c>
      <c r="L65" s="52"/>
    </row>
    <row r="66" spans="2:13" ht="12.75" customHeight="1" x14ac:dyDescent="0.25">
      <c r="B66" s="101" t="s">
        <v>59</v>
      </c>
      <c r="C66" s="62">
        <f>4172555198.31</f>
        <v>4172555198.3099999</v>
      </c>
      <c r="D66" s="62">
        <f>1813205416.08</f>
        <v>1813205416.0799999</v>
      </c>
      <c r="E66" s="62">
        <f>3352626028.21</f>
        <v>3352626028.21</v>
      </c>
      <c r="F66" s="62">
        <f>116733393.71</f>
        <v>116733393.70999999</v>
      </c>
      <c r="G66" s="62">
        <f>0</f>
        <v>0</v>
      </c>
      <c r="H66" s="62">
        <f>524949.68</f>
        <v>524949.68000000005</v>
      </c>
      <c r="I66" s="69">
        <f>0</f>
        <v>0</v>
      </c>
      <c r="J66" s="32">
        <f>IF($D$65=0,"",100*$D66/$D$65)</f>
        <v>54.171424653733339</v>
      </c>
      <c r="K66" s="32">
        <f>IF(C66=0,"",100*D66/C66)</f>
        <v>43.455516581647579</v>
      </c>
      <c r="L66" s="34"/>
    </row>
    <row r="67" spans="2:13" ht="12.75" customHeight="1" x14ac:dyDescent="0.25">
      <c r="B67" s="101" t="s">
        <v>60</v>
      </c>
      <c r="C67" s="62">
        <f t="shared" ref="C67:I67" si="6">C65-C66</f>
        <v>2769391711.6399999</v>
      </c>
      <c r="D67" s="62">
        <f t="shared" si="6"/>
        <v>1533956722.7600002</v>
      </c>
      <c r="E67" s="62">
        <f t="shared" si="6"/>
        <v>2094823505.8800001</v>
      </c>
      <c r="F67" s="62">
        <f t="shared" si="6"/>
        <v>14184010.710000008</v>
      </c>
      <c r="G67" s="62">
        <f t="shared" si="6"/>
        <v>0</v>
      </c>
      <c r="H67" s="62">
        <f t="shared" si="6"/>
        <v>33332</v>
      </c>
      <c r="I67" s="71">
        <f t="shared" si="6"/>
        <v>0</v>
      </c>
      <c r="J67" s="32">
        <f>IF($D$65=0,"",100*$D67/$D$65)</f>
        <v>45.828575346266668</v>
      </c>
      <c r="K67" s="32">
        <f>IF(C67=0,"",100*D67/C67)</f>
        <v>55.389662513708103</v>
      </c>
      <c r="L67" s="34"/>
    </row>
    <row r="68" spans="2:13" ht="18" customHeight="1" x14ac:dyDescent="0.25">
      <c r="B68" s="100" t="str">
        <f>CONCATENATE("Informacja z wykonania budżetów województw za ",$D$100," ",$C$101," rok    ",$C$103,"")</f>
        <v xml:space="preserve">Informacja z wykonania budżetów województw za III Kwartały 2022 rok    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 ht="6" customHeight="1" x14ac:dyDescent="0.25"/>
    <row r="70" spans="2:13" ht="13" x14ac:dyDescent="0.25">
      <c r="B70" s="37" t="s">
        <v>16</v>
      </c>
      <c r="C70" s="70" t="s">
        <v>17</v>
      </c>
      <c r="D70" s="70" t="s">
        <v>1</v>
      </c>
      <c r="E70" s="145" t="s">
        <v>89</v>
      </c>
      <c r="F70" s="146"/>
      <c r="G70" s="146"/>
      <c r="H70" s="146"/>
      <c r="I70" s="147"/>
      <c r="J70" s="16" t="s">
        <v>22</v>
      </c>
      <c r="K70" s="16" t="s">
        <v>23</v>
      </c>
    </row>
    <row r="71" spans="2:13" ht="13" x14ac:dyDescent="0.25">
      <c r="B71" s="37"/>
      <c r="C71" s="122" t="s">
        <v>61</v>
      </c>
      <c r="D71" s="142"/>
      <c r="E71" s="148"/>
      <c r="F71" s="149"/>
      <c r="G71" s="149"/>
      <c r="H71" s="149"/>
      <c r="I71" s="150"/>
      <c r="J71" s="154" t="s">
        <v>4</v>
      </c>
      <c r="K71" s="155"/>
    </row>
    <row r="72" spans="2:13" x14ac:dyDescent="0.25">
      <c r="B72" s="35">
        <v>1</v>
      </c>
      <c r="C72" s="89">
        <v>2</v>
      </c>
      <c r="D72" s="89">
        <v>3</v>
      </c>
      <c r="E72" s="151"/>
      <c r="F72" s="152"/>
      <c r="G72" s="152"/>
      <c r="H72" s="152"/>
      <c r="I72" s="153"/>
      <c r="J72" s="36">
        <v>4</v>
      </c>
      <c r="K72" s="36">
        <v>5</v>
      </c>
    </row>
    <row r="73" spans="2:13" ht="27" customHeight="1" x14ac:dyDescent="0.25">
      <c r="B73" s="90" t="s">
        <v>47</v>
      </c>
      <c r="C73" s="39">
        <f>3524746105.6</f>
        <v>3524746105.5999999</v>
      </c>
      <c r="D73" s="39">
        <f>4363661690.26</f>
        <v>4363661690.2600002</v>
      </c>
      <c r="E73" s="108" t="s">
        <v>89</v>
      </c>
      <c r="F73" s="108" t="s">
        <v>89</v>
      </c>
      <c r="G73" s="108" t="s">
        <v>89</v>
      </c>
      <c r="H73" s="108" t="s">
        <v>89</v>
      </c>
      <c r="I73" s="108" t="s">
        <v>89</v>
      </c>
      <c r="J73" s="38">
        <f>IF($D$73=0,"",100*$D73/$D$73)</f>
        <v>100</v>
      </c>
      <c r="K73" s="31">
        <f t="shared" ref="K73:K86" si="7">IF(C73=0,"",100*D73/C73)</f>
        <v>123.80073796881877</v>
      </c>
    </row>
    <row r="74" spans="2:13" ht="23.25" customHeight="1" x14ac:dyDescent="0.25">
      <c r="B74" s="105" t="s">
        <v>72</v>
      </c>
      <c r="C74" s="40">
        <f>390964478</f>
        <v>390964478</v>
      </c>
      <c r="D74" s="40">
        <f>0</f>
        <v>0</v>
      </c>
      <c r="E74" s="109" t="s">
        <v>89</v>
      </c>
      <c r="F74" s="109" t="s">
        <v>89</v>
      </c>
      <c r="G74" s="109" t="s">
        <v>89</v>
      </c>
      <c r="H74" s="109" t="s">
        <v>89</v>
      </c>
      <c r="I74" s="109" t="s">
        <v>89</v>
      </c>
      <c r="J74" s="45">
        <f t="shared" ref="J74:J81" si="8">IF($D$73=0,"",100*$D74/$D$73)</f>
        <v>0</v>
      </c>
      <c r="K74" s="46">
        <f t="shared" si="7"/>
        <v>0</v>
      </c>
    </row>
    <row r="75" spans="2:13" x14ac:dyDescent="0.25">
      <c r="B75" s="106" t="s">
        <v>73</v>
      </c>
      <c r="C75" s="64">
        <f>17786354</f>
        <v>17786354</v>
      </c>
      <c r="D75" s="64">
        <f>0</f>
        <v>0</v>
      </c>
      <c r="E75" s="109" t="s">
        <v>89</v>
      </c>
      <c r="F75" s="109" t="s">
        <v>89</v>
      </c>
      <c r="G75" s="109" t="s">
        <v>89</v>
      </c>
      <c r="H75" s="109" t="s">
        <v>89</v>
      </c>
      <c r="I75" s="109" t="s">
        <v>89</v>
      </c>
      <c r="J75" s="65">
        <f t="shared" si="8"/>
        <v>0</v>
      </c>
      <c r="K75" s="66">
        <f t="shared" si="7"/>
        <v>0</v>
      </c>
    </row>
    <row r="76" spans="2:13" ht="12.75" customHeight="1" x14ac:dyDescent="0.25">
      <c r="B76" s="63" t="s">
        <v>74</v>
      </c>
      <c r="C76" s="64">
        <f>158634763</f>
        <v>158634763</v>
      </c>
      <c r="D76" s="64">
        <f>10904085.76</f>
        <v>10904085.76</v>
      </c>
      <c r="E76" s="109" t="s">
        <v>89</v>
      </c>
      <c r="F76" s="109" t="s">
        <v>89</v>
      </c>
      <c r="G76" s="109" t="s">
        <v>89</v>
      </c>
      <c r="H76" s="109" t="s">
        <v>89</v>
      </c>
      <c r="I76" s="109" t="s">
        <v>89</v>
      </c>
      <c r="J76" s="65">
        <f t="shared" si="8"/>
        <v>0.24988384833633381</v>
      </c>
      <c r="K76" s="66">
        <f t="shared" si="7"/>
        <v>6.873705078123387</v>
      </c>
    </row>
    <row r="77" spans="2:13" ht="46.5" customHeight="1" x14ac:dyDescent="0.25">
      <c r="B77" s="63" t="s">
        <v>83</v>
      </c>
      <c r="C77" s="64">
        <f>182796109</f>
        <v>182796109</v>
      </c>
      <c r="D77" s="64">
        <f>791327447.72</f>
        <v>791327447.72000003</v>
      </c>
      <c r="E77" s="109" t="s">
        <v>89</v>
      </c>
      <c r="F77" s="109" t="s">
        <v>89</v>
      </c>
      <c r="G77" s="109" t="s">
        <v>89</v>
      </c>
      <c r="H77" s="109" t="s">
        <v>89</v>
      </c>
      <c r="I77" s="109" t="s">
        <v>89</v>
      </c>
      <c r="J77" s="65">
        <f t="shared" si="8"/>
        <v>18.134482090724369</v>
      </c>
      <c r="K77" s="66">
        <f t="shared" si="7"/>
        <v>432.90169142495262</v>
      </c>
    </row>
    <row r="78" spans="2:13" ht="35.25" customHeight="1" x14ac:dyDescent="0.25">
      <c r="B78" s="63" t="s">
        <v>84</v>
      </c>
      <c r="C78" s="64">
        <f>580565082.61</f>
        <v>580565082.61000001</v>
      </c>
      <c r="D78" s="64">
        <f>662686274</f>
        <v>662686274</v>
      </c>
      <c r="E78" s="109" t="s">
        <v>89</v>
      </c>
      <c r="F78" s="109" t="s">
        <v>89</v>
      </c>
      <c r="G78" s="109" t="s">
        <v>89</v>
      </c>
      <c r="H78" s="109" t="s">
        <v>89</v>
      </c>
      <c r="I78" s="109" t="s">
        <v>89</v>
      </c>
      <c r="J78" s="65">
        <f t="shared" si="8"/>
        <v>15.186472303275993</v>
      </c>
      <c r="K78" s="66">
        <f t="shared" si="7"/>
        <v>114.14504486229421</v>
      </c>
    </row>
    <row r="79" spans="2:13" ht="12.75" customHeight="1" x14ac:dyDescent="0.25">
      <c r="B79" s="63" t="s">
        <v>75</v>
      </c>
      <c r="C79" s="64">
        <f>0</f>
        <v>0</v>
      </c>
      <c r="D79" s="64">
        <f>0</f>
        <v>0</v>
      </c>
      <c r="E79" s="109" t="s">
        <v>89</v>
      </c>
      <c r="F79" s="109" t="s">
        <v>89</v>
      </c>
      <c r="G79" s="109" t="s">
        <v>89</v>
      </c>
      <c r="H79" s="109" t="s">
        <v>89</v>
      </c>
      <c r="I79" s="109" t="s">
        <v>89</v>
      </c>
      <c r="J79" s="65">
        <f t="shared" si="8"/>
        <v>0</v>
      </c>
      <c r="K79" s="66" t="str">
        <f t="shared" si="7"/>
        <v/>
      </c>
    </row>
    <row r="80" spans="2:13" ht="20" x14ac:dyDescent="0.25">
      <c r="B80" s="63" t="s">
        <v>78</v>
      </c>
      <c r="C80" s="64">
        <f>1756785672.99</f>
        <v>1756785672.99</v>
      </c>
      <c r="D80" s="64">
        <f>2743743882.78</f>
        <v>2743743882.7800002</v>
      </c>
      <c r="E80" s="109" t="s">
        <v>89</v>
      </c>
      <c r="F80" s="109" t="s">
        <v>89</v>
      </c>
      <c r="G80" s="109" t="s">
        <v>89</v>
      </c>
      <c r="H80" s="109" t="s">
        <v>89</v>
      </c>
      <c r="I80" s="109" t="s">
        <v>89</v>
      </c>
      <c r="J80" s="65">
        <f t="shared" si="8"/>
        <v>62.877099040565625</v>
      </c>
      <c r="K80" s="66">
        <f t="shared" si="7"/>
        <v>156.17977337612419</v>
      </c>
    </row>
    <row r="81" spans="2:11" ht="12.75" customHeight="1" x14ac:dyDescent="0.25">
      <c r="B81" s="63" t="s">
        <v>63</v>
      </c>
      <c r="C81" s="64">
        <f>455000000</f>
        <v>455000000</v>
      </c>
      <c r="D81" s="64">
        <f>155000000</f>
        <v>155000000</v>
      </c>
      <c r="E81" s="109" t="s">
        <v>89</v>
      </c>
      <c r="F81" s="109" t="s">
        <v>89</v>
      </c>
      <c r="G81" s="109" t="s">
        <v>89</v>
      </c>
      <c r="H81" s="109" t="s">
        <v>89</v>
      </c>
      <c r="I81" s="109" t="s">
        <v>89</v>
      </c>
      <c r="J81" s="65">
        <f t="shared" si="8"/>
        <v>3.552062717097682</v>
      </c>
      <c r="K81" s="66">
        <f t="shared" si="7"/>
        <v>34.065934065934066</v>
      </c>
    </row>
    <row r="82" spans="2:11" ht="27" customHeight="1" x14ac:dyDescent="0.25">
      <c r="B82" s="90" t="s">
        <v>48</v>
      </c>
      <c r="C82" s="43">
        <f>1289765074.92</f>
        <v>1289765074.9200001</v>
      </c>
      <c r="D82" s="43">
        <f>1424546452.73</f>
        <v>1424546452.73</v>
      </c>
      <c r="E82" s="108" t="s">
        <v>89</v>
      </c>
      <c r="F82" s="108" t="s">
        <v>89</v>
      </c>
      <c r="G82" s="108" t="s">
        <v>89</v>
      </c>
      <c r="H82" s="108" t="s">
        <v>89</v>
      </c>
      <c r="I82" s="108" t="s">
        <v>89</v>
      </c>
      <c r="J82" s="38">
        <f>IF($D$82=0,"",100*$D82/$D$82)</f>
        <v>100</v>
      </c>
      <c r="K82" s="31">
        <f t="shared" si="7"/>
        <v>110.45007191083694</v>
      </c>
    </row>
    <row r="83" spans="2:11" ht="24.75" customHeight="1" x14ac:dyDescent="0.25">
      <c r="B83" s="105" t="s">
        <v>76</v>
      </c>
      <c r="C83" s="40">
        <f>704295775.92</f>
        <v>704295775.91999996</v>
      </c>
      <c r="D83" s="42">
        <f>473060253.93</f>
        <v>473060253.93000001</v>
      </c>
      <c r="E83" s="109" t="s">
        <v>89</v>
      </c>
      <c r="F83" s="109" t="s">
        <v>89</v>
      </c>
      <c r="G83" s="109" t="s">
        <v>89</v>
      </c>
      <c r="H83" s="109" t="s">
        <v>89</v>
      </c>
      <c r="I83" s="109" t="s">
        <v>89</v>
      </c>
      <c r="J83" s="45">
        <f>IF($D$82=0,"",100*$D83/$D$82)</f>
        <v>33.207780134050921</v>
      </c>
      <c r="K83" s="46">
        <f t="shared" si="7"/>
        <v>67.167839152812732</v>
      </c>
    </row>
    <row r="84" spans="2:11" ht="12.75" customHeight="1" x14ac:dyDescent="0.25">
      <c r="B84" s="63" t="s">
        <v>77</v>
      </c>
      <c r="C84" s="64">
        <f>2800000</f>
        <v>2800000</v>
      </c>
      <c r="D84" s="64">
        <f>0</f>
        <v>0</v>
      </c>
      <c r="E84" s="109" t="s">
        <v>89</v>
      </c>
      <c r="F84" s="109" t="s">
        <v>89</v>
      </c>
      <c r="G84" s="109" t="s">
        <v>89</v>
      </c>
      <c r="H84" s="109" t="s">
        <v>89</v>
      </c>
      <c r="I84" s="109" t="s">
        <v>89</v>
      </c>
      <c r="J84" s="65">
        <f>IF($D$82=0,"",100*$D84/$D$82)</f>
        <v>0</v>
      </c>
      <c r="K84" s="66">
        <f t="shared" si="7"/>
        <v>0</v>
      </c>
    </row>
    <row r="85" spans="2:11" ht="12.75" customHeight="1" x14ac:dyDescent="0.25">
      <c r="B85" s="63" t="s">
        <v>85</v>
      </c>
      <c r="C85" s="64">
        <f>195052741</f>
        <v>195052741</v>
      </c>
      <c r="D85" s="64">
        <f>101486198.8</f>
        <v>101486198.8</v>
      </c>
      <c r="E85" s="109" t="s">
        <v>89</v>
      </c>
      <c r="F85" s="109" t="s">
        <v>89</v>
      </c>
      <c r="G85" s="109" t="s">
        <v>89</v>
      </c>
      <c r="H85" s="109" t="s">
        <v>89</v>
      </c>
      <c r="I85" s="109" t="s">
        <v>89</v>
      </c>
      <c r="J85" s="65">
        <f>IF($D$82=0,"",100*$D85/$D$82)</f>
        <v>7.1241059640780335</v>
      </c>
      <c r="K85" s="66">
        <f t="shared" si="7"/>
        <v>52.030132096426165</v>
      </c>
    </row>
    <row r="86" spans="2:11" ht="12.75" customHeight="1" x14ac:dyDescent="0.25">
      <c r="B86" s="63" t="s">
        <v>24</v>
      </c>
      <c r="C86" s="64">
        <f>390416558</f>
        <v>390416558</v>
      </c>
      <c r="D86" s="64">
        <f>850000000</f>
        <v>850000000</v>
      </c>
      <c r="E86" s="109" t="s">
        <v>89</v>
      </c>
      <c r="F86" s="109" t="s">
        <v>89</v>
      </c>
      <c r="G86" s="109" t="s">
        <v>89</v>
      </c>
      <c r="H86" s="109" t="s">
        <v>89</v>
      </c>
      <c r="I86" s="109" t="s">
        <v>89</v>
      </c>
      <c r="J86" s="65">
        <f>IF($D$82=0,"",100*$D86/$D$82)</f>
        <v>59.668113901871045</v>
      </c>
      <c r="K86" s="66">
        <f t="shared" si="7"/>
        <v>217.71617585952899</v>
      </c>
    </row>
    <row r="88" spans="2:11" ht="13" x14ac:dyDescent="0.25">
      <c r="B88" s="37" t="s">
        <v>16</v>
      </c>
      <c r="C88" s="70" t="s">
        <v>17</v>
      </c>
      <c r="D88" s="16" t="s">
        <v>1</v>
      </c>
    </row>
    <row r="89" spans="2:11" ht="13" x14ac:dyDescent="0.25">
      <c r="B89" s="37"/>
      <c r="C89" s="122" t="s">
        <v>61</v>
      </c>
      <c r="D89" s="142"/>
    </row>
    <row r="90" spans="2:11" x14ac:dyDescent="0.25">
      <c r="B90" s="35">
        <v>1</v>
      </c>
      <c r="C90" s="89">
        <v>2</v>
      </c>
      <c r="D90" s="36">
        <v>3</v>
      </c>
    </row>
    <row r="91" spans="2:11" ht="30" x14ac:dyDescent="0.25">
      <c r="B91" s="44" t="s">
        <v>98</v>
      </c>
      <c r="C91" s="41">
        <f>2242074018.84</f>
        <v>2242074018.8400002</v>
      </c>
      <c r="D91" s="24">
        <f>0</f>
        <v>0</v>
      </c>
    </row>
    <row r="92" spans="2:11" ht="30" x14ac:dyDescent="0.25">
      <c r="B92" s="107" t="s">
        <v>64</v>
      </c>
      <c r="C92" s="64">
        <f>0</f>
        <v>0</v>
      </c>
      <c r="D92" s="57">
        <f>0</f>
        <v>0</v>
      </c>
    </row>
    <row r="93" spans="2:11" ht="12.75" customHeight="1" x14ac:dyDescent="0.25">
      <c r="B93" s="107" t="s">
        <v>65</v>
      </c>
      <c r="C93" s="64">
        <f>296267637</f>
        <v>296267637</v>
      </c>
      <c r="D93" s="57">
        <f>0</f>
        <v>0</v>
      </c>
    </row>
    <row r="94" spans="2:11" ht="20" x14ac:dyDescent="0.25">
      <c r="B94" s="107" t="s">
        <v>66</v>
      </c>
      <c r="C94" s="64">
        <f>0</f>
        <v>0</v>
      </c>
      <c r="D94" s="57">
        <f>0</f>
        <v>0</v>
      </c>
    </row>
    <row r="95" spans="2:11" ht="40" x14ac:dyDescent="0.25">
      <c r="B95" s="107" t="s">
        <v>86</v>
      </c>
      <c r="C95" s="64">
        <f>105084765</f>
        <v>105084765</v>
      </c>
      <c r="D95" s="57">
        <f>0</f>
        <v>0</v>
      </c>
    </row>
    <row r="96" spans="2:11" ht="81" customHeight="1" x14ac:dyDescent="0.25">
      <c r="B96" s="107" t="s">
        <v>67</v>
      </c>
      <c r="C96" s="64">
        <f>1235419677.78</f>
        <v>1235419677.78</v>
      </c>
      <c r="D96" s="57">
        <f>0</f>
        <v>0</v>
      </c>
    </row>
    <row r="97" spans="2:4" ht="151.5" customHeight="1" x14ac:dyDescent="0.25">
      <c r="B97" s="107" t="s">
        <v>87</v>
      </c>
      <c r="C97" s="64">
        <f>517119188.06</f>
        <v>517119188.06</v>
      </c>
      <c r="D97" s="57">
        <f>0</f>
        <v>0</v>
      </c>
    </row>
    <row r="98" spans="2:4" ht="23.25" customHeight="1" x14ac:dyDescent="0.25">
      <c r="B98" s="107" t="s">
        <v>88</v>
      </c>
      <c r="C98" s="64">
        <f>88182751</f>
        <v>88182751</v>
      </c>
      <c r="D98" s="57">
        <f>0</f>
        <v>0</v>
      </c>
    </row>
    <row r="100" spans="2:4" x14ac:dyDescent="0.25">
      <c r="B100" s="33" t="s">
        <v>49</v>
      </c>
      <c r="C100" s="33">
        <f>3</f>
        <v>3</v>
      </c>
      <c r="D100" s="33" t="str">
        <f>IF(C100=1,"I Kwartał",IF(C100=2,"II Kwartały",IF(C100=3,"III Kwartały",IF(C100=4,"IV Kwartały",IF(C100="M1","Styczeń",IF(C100="M11","Listopad",IF(C100="M12","Grudzień","-")))))))</f>
        <v>III Kwartały</v>
      </c>
    </row>
    <row r="101" spans="2:4" x14ac:dyDescent="0.25">
      <c r="B101" s="33" t="s">
        <v>50</v>
      </c>
      <c r="C101" s="111">
        <f>2022</f>
        <v>2022</v>
      </c>
      <c r="D101" s="34"/>
    </row>
    <row r="102" spans="2:4" x14ac:dyDescent="0.25">
      <c r="B102" s="33" t="s">
        <v>51</v>
      </c>
      <c r="C102" s="139" t="str">
        <f>"Nov 18 2022 12:00AM"</f>
        <v>Nov 18 2022 12:00AM</v>
      </c>
      <c r="D102" s="140"/>
    </row>
    <row r="103" spans="2:4" hidden="1" x14ac:dyDescent="0.25">
      <c r="B103" s="33" t="s">
        <v>56</v>
      </c>
      <c r="C103" s="112" t="str">
        <f>""</f>
        <v/>
      </c>
      <c r="D103" s="34"/>
    </row>
  </sheetData>
  <mergeCells count="23">
    <mergeCell ref="C102:D102"/>
    <mergeCell ref="F46:H46"/>
    <mergeCell ref="G47:H47"/>
    <mergeCell ref="C71:D71"/>
    <mergeCell ref="J46:J48"/>
    <mergeCell ref="C89:D89"/>
    <mergeCell ref="I62:J62"/>
    <mergeCell ref="E70:I72"/>
    <mergeCell ref="J71:K71"/>
    <mergeCell ref="J3:L3"/>
    <mergeCell ref="C3:D3"/>
    <mergeCell ref="I46:I48"/>
    <mergeCell ref="C49:I49"/>
    <mergeCell ref="I61:J61"/>
    <mergeCell ref="D46:D48"/>
    <mergeCell ref="E46:E48"/>
    <mergeCell ref="J49:K49"/>
    <mergeCell ref="K46:K48"/>
    <mergeCell ref="B2:B3"/>
    <mergeCell ref="C46:C48"/>
    <mergeCell ref="B46:B49"/>
    <mergeCell ref="F47:F48"/>
    <mergeCell ref="E3:I4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3" max="16383" man="1"/>
    <brk id="6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2022-11-29T15:18:41Z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MF\HHCY;Kołacz Bernard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MF\S-1-5-21-1525952054-1005573771-2909822258-435687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