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3C72DB5D-566E-4DCB-A7CB-A5B44F587CD1}" xr6:coauthVersionLast="47" xr6:coauthVersionMax="47" xr10:uidLastSave="{00000000-0000-0000-0000-000000000000}"/>
  <bookViews>
    <workbookView xWindow="-120" yWindow="-120" windowWidth="29040" windowHeight="15720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85" i="7"/>
  <c r="A66" i="7"/>
  <c r="A1" i="7"/>
  <c r="A29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<sst xmlns="http://schemas.openxmlformats.org/spreadsheetml/2006/main" count="97" uniqueCount="81">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</sst>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71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2" fillId="0" borderId="15" xfId="37" applyNumberFormat="1" applyFont="1" applyFill="1" applyBorder="1" applyAlignment="1">
      <alignment horizontal="right" vertical="center" wrapText="1"/>
    </xf>
    <xf numFmtId="4" fontId="2" fillId="0" borderId="11" xfId="37" applyNumberFormat="1" applyFont="1" applyFill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3" fontId="2" fillId="0" borderId="15" xfId="37" applyNumberFormat="1" applyFont="1" applyFill="1" applyBorder="1" applyAlignment="1">
      <alignment horizontal="right" vertical="center" wrapText="1"/>
    </xf>
    <xf numFmtId="3" fontId="2" fillId="0" borderId="11" xfId="37" applyNumberFormat="1" applyFont="1" applyFill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" width="11.140625" style="2" customWidth="1"/>
    <col min="17" max="16384" width="9.140625" style="2"/>
  </cols>
  <sheetData>
    <row r="1" spans="1:17" ht="75" customHeight="1" x14ac:dyDescent="0.2">
      <c r="A1" s="30" t="str">
        <f>CONCATENATE("Informacja z wykonania budżetów województw za  ",$C$93," ",$B$94," roku    ",$B$96,"")</f>
        <v xml:space="preserve">Informacja z wykonania budżetów województw za  II Kwartały 2024 roku    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0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7" ht="13.5" customHeight="1" x14ac:dyDescent="0.2">
      <c r="B5" s="1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1"/>
      <c r="O5" s="11"/>
      <c r="P5" s="11"/>
      <c r="Q5" s="11"/>
    </row>
    <row r="6" spans="1:17" ht="13.5" customHeight="1" x14ac:dyDescent="0.2">
      <c r="A6" s="61" t="s">
        <v>0</v>
      </c>
      <c r="B6" s="31" t="s">
        <v>63</v>
      </c>
      <c r="C6" s="26" t="s">
        <v>67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6" t="s">
        <v>66</v>
      </c>
      <c r="P6" s="27"/>
      <c r="Q6" s="28"/>
    </row>
    <row r="7" spans="1:17" ht="13.5" customHeight="1" x14ac:dyDescent="0.2">
      <c r="A7" s="62"/>
      <c r="B7" s="32"/>
      <c r="C7" s="33" t="s">
        <v>64</v>
      </c>
      <c r="D7" s="33" t="s">
        <v>75</v>
      </c>
      <c r="E7" s="33" t="s">
        <v>68</v>
      </c>
      <c r="F7" s="33" t="s">
        <v>69</v>
      </c>
      <c r="G7" s="33" t="s">
        <v>27</v>
      </c>
      <c r="H7" s="33" t="s">
        <v>28</v>
      </c>
      <c r="I7" s="64" t="s">
        <v>65</v>
      </c>
      <c r="J7" s="33" t="s">
        <v>16</v>
      </c>
      <c r="K7" s="33" t="s">
        <v>17</v>
      </c>
      <c r="L7" s="33" t="s">
        <v>18</v>
      </c>
      <c r="M7" s="33" t="s">
        <v>19</v>
      </c>
      <c r="N7" s="32" t="s">
        <v>20</v>
      </c>
      <c r="O7" s="29" t="s">
        <v>21</v>
      </c>
      <c r="P7" s="29" t="s">
        <v>22</v>
      </c>
      <c r="Q7" s="29" t="s">
        <v>23</v>
      </c>
    </row>
    <row r="8" spans="1:17" ht="13.5" customHeight="1" x14ac:dyDescent="0.2">
      <c r="A8" s="62"/>
      <c r="B8" s="32"/>
      <c r="C8" s="29"/>
      <c r="D8" s="29"/>
      <c r="E8" s="29"/>
      <c r="F8" s="29"/>
      <c r="G8" s="29"/>
      <c r="H8" s="29"/>
      <c r="I8" s="64"/>
      <c r="J8" s="29"/>
      <c r="K8" s="29"/>
      <c r="L8" s="29"/>
      <c r="M8" s="29"/>
      <c r="N8" s="32"/>
      <c r="O8" s="29"/>
      <c r="P8" s="29"/>
      <c r="Q8" s="29"/>
    </row>
    <row r="9" spans="1:17" ht="11.25" customHeight="1" x14ac:dyDescent="0.2">
      <c r="A9" s="62"/>
      <c r="B9" s="32"/>
      <c r="C9" s="29"/>
      <c r="D9" s="29"/>
      <c r="E9" s="29"/>
      <c r="F9" s="29"/>
      <c r="G9" s="29"/>
      <c r="H9" s="29"/>
      <c r="I9" s="64"/>
      <c r="J9" s="29"/>
      <c r="K9" s="29"/>
      <c r="L9" s="29"/>
      <c r="M9" s="29"/>
      <c r="N9" s="32"/>
      <c r="O9" s="29"/>
      <c r="P9" s="29"/>
      <c r="Q9" s="29"/>
    </row>
    <row r="10" spans="1:17" ht="27.75" customHeight="1" x14ac:dyDescent="0.2">
      <c r="A10" s="63"/>
      <c r="B10" s="33"/>
      <c r="C10" s="29"/>
      <c r="D10" s="29"/>
      <c r="E10" s="29"/>
      <c r="F10" s="29"/>
      <c r="G10" s="29"/>
      <c r="H10" s="29"/>
      <c r="I10" s="65"/>
      <c r="J10" s="29"/>
      <c r="K10" s="29"/>
      <c r="L10" s="29"/>
      <c r="M10" s="29"/>
      <c r="N10" s="33"/>
      <c r="O10" s="29"/>
      <c r="P10" s="29"/>
      <c r="Q10" s="29"/>
    </row>
    <row r="11" spans="1:17" ht="1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3.5" customHeight="1" x14ac:dyDescent="0.2">
      <c r="A12" s="13"/>
      <c r="B12" s="69" t="s">
        <v>78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43.5" customHeight="1" x14ac:dyDescent="0.2">
      <c r="A13" s="19" t="s">
        <v>79</v>
      </c>
      <c r="B13" s="20">
        <f>4486442864.78</f>
        <v>4486442864.7799997</v>
      </c>
      <c r="C13" s="20">
        <f>2617485216.61</f>
        <v>2617485216.6100001</v>
      </c>
      <c r="D13" s="20">
        <f>159637068.42</f>
        <v>159637068.41999999</v>
      </c>
      <c r="E13" s="20">
        <f>158000000</f>
        <v>158000000</v>
      </c>
      <c r="F13" s="20">
        <f>0</f>
        <v>0</v>
      </c>
      <c r="G13" s="20">
        <f>1637068.42</f>
        <v>1637068.42</v>
      </c>
      <c r="H13" s="20">
        <f>0</f>
        <v>0</v>
      </c>
      <c r="I13" s="20">
        <f>0</f>
        <v>0</v>
      </c>
      <c r="J13" s="20">
        <f>2289258471.96</f>
        <v>2289258471.96</v>
      </c>
      <c r="K13" s="20">
        <f>0</f>
        <v>0</v>
      </c>
      <c r="L13" s="20">
        <f>167252502.87</f>
        <v>167252502.87</v>
      </c>
      <c r="M13" s="20">
        <f>1329927.18</f>
        <v>1329927.18</v>
      </c>
      <c r="N13" s="20">
        <f>7246.18</f>
        <v>7246.18</v>
      </c>
      <c r="O13" s="20">
        <f>1868957648.17</f>
        <v>1868957648.1700001</v>
      </c>
      <c r="P13" s="20">
        <f>1868957648.17</f>
        <v>1868957648.1700001</v>
      </c>
      <c r="Q13" s="20">
        <f>0</f>
        <v>0</v>
      </c>
    </row>
    <row r="14" spans="1:17" ht="28.5" customHeight="1" x14ac:dyDescent="0.2">
      <c r="A14" s="19" t="s">
        <v>45</v>
      </c>
      <c r="B14" s="20">
        <f>202950000</f>
        <v>202950000</v>
      </c>
      <c r="C14" s="20">
        <f>202950000</f>
        <v>202950000</v>
      </c>
      <c r="D14" s="20">
        <f>0</f>
        <v>0</v>
      </c>
      <c r="E14" s="20">
        <f>0</f>
        <v>0</v>
      </c>
      <c r="F14" s="20">
        <f>0</f>
        <v>0</v>
      </c>
      <c r="G14" s="20">
        <f>0</f>
        <v>0</v>
      </c>
      <c r="H14" s="20">
        <f>0</f>
        <v>0</v>
      </c>
      <c r="I14" s="20">
        <f>0</f>
        <v>0</v>
      </c>
      <c r="J14" s="20">
        <f>202950000</f>
        <v>202950000</v>
      </c>
      <c r="K14" s="20">
        <f>0</f>
        <v>0</v>
      </c>
      <c r="L14" s="20">
        <f>0</f>
        <v>0</v>
      </c>
      <c r="M14" s="20">
        <f>0</f>
        <v>0</v>
      </c>
      <c r="N14" s="20">
        <f>0</f>
        <v>0</v>
      </c>
      <c r="O14" s="20">
        <f>0</f>
        <v>0</v>
      </c>
      <c r="P14" s="20">
        <f>0</f>
        <v>0</v>
      </c>
      <c r="Q14" s="20">
        <f>0</f>
        <v>0</v>
      </c>
    </row>
    <row r="15" spans="1:17" ht="22.5" customHeight="1" x14ac:dyDescent="0.2">
      <c r="A15" s="17" t="s">
        <v>46</v>
      </c>
      <c r="B15" s="21">
        <f>0</f>
        <v>0</v>
      </c>
      <c r="C15" s="21">
        <f>0</f>
        <v>0</v>
      </c>
      <c r="D15" s="21">
        <f>0</f>
        <v>0</v>
      </c>
      <c r="E15" s="21">
        <f>0</f>
        <v>0</v>
      </c>
      <c r="F15" s="21">
        <f>0</f>
        <v>0</v>
      </c>
      <c r="G15" s="21">
        <f>0</f>
        <v>0</v>
      </c>
      <c r="H15" s="21">
        <f>0</f>
        <v>0</v>
      </c>
      <c r="I15" s="21">
        <f>0</f>
        <v>0</v>
      </c>
      <c r="J15" s="21">
        <f>0</f>
        <v>0</v>
      </c>
      <c r="K15" s="21">
        <f>0</f>
        <v>0</v>
      </c>
      <c r="L15" s="21">
        <f>0</f>
        <v>0</v>
      </c>
      <c r="M15" s="21">
        <f>0</f>
        <v>0</v>
      </c>
      <c r="N15" s="21">
        <f>0</f>
        <v>0</v>
      </c>
      <c r="O15" s="21">
        <f>0</f>
        <v>0</v>
      </c>
      <c r="P15" s="21">
        <f>0</f>
        <v>0</v>
      </c>
      <c r="Q15" s="21">
        <f>0</f>
        <v>0</v>
      </c>
    </row>
    <row r="16" spans="1:17" ht="22.5" customHeight="1" x14ac:dyDescent="0.2">
      <c r="A16" s="17" t="s">
        <v>47</v>
      </c>
      <c r="B16" s="21">
        <f>202950000</f>
        <v>202950000</v>
      </c>
      <c r="C16" s="21">
        <f>202950000</f>
        <v>202950000</v>
      </c>
      <c r="D16" s="21">
        <f>0</f>
        <v>0</v>
      </c>
      <c r="E16" s="21">
        <f>0</f>
        <v>0</v>
      </c>
      <c r="F16" s="21">
        <f>0</f>
        <v>0</v>
      </c>
      <c r="G16" s="21">
        <f>0</f>
        <v>0</v>
      </c>
      <c r="H16" s="21">
        <f>0</f>
        <v>0</v>
      </c>
      <c r="I16" s="21">
        <f>0</f>
        <v>0</v>
      </c>
      <c r="J16" s="21">
        <f>202950000</f>
        <v>202950000</v>
      </c>
      <c r="K16" s="21">
        <f>0</f>
        <v>0</v>
      </c>
      <c r="L16" s="21">
        <f>0</f>
        <v>0</v>
      </c>
      <c r="M16" s="21">
        <f>0</f>
        <v>0</v>
      </c>
      <c r="N16" s="21">
        <f>0</f>
        <v>0</v>
      </c>
      <c r="O16" s="21">
        <f>0</f>
        <v>0</v>
      </c>
      <c r="P16" s="21">
        <f>0</f>
        <v>0</v>
      </c>
      <c r="Q16" s="21">
        <f>0</f>
        <v>0</v>
      </c>
    </row>
    <row r="17" spans="1:17" ht="36" customHeight="1" x14ac:dyDescent="0.2">
      <c r="A17" s="19" t="s">
        <v>48</v>
      </c>
      <c r="B17" s="20">
        <f>4281267400.55</f>
        <v>4281267400.5500002</v>
      </c>
      <c r="C17" s="20">
        <f>2412309752.38</f>
        <v>2412309752.3800001</v>
      </c>
      <c r="D17" s="20">
        <f>159608876.42</f>
        <v>159608876.41999999</v>
      </c>
      <c r="E17" s="20">
        <f>158000000</f>
        <v>158000000</v>
      </c>
      <c r="F17" s="20">
        <f>0</f>
        <v>0</v>
      </c>
      <c r="G17" s="20">
        <f>1608876.42</f>
        <v>1608876.42</v>
      </c>
      <c r="H17" s="20">
        <f>0</f>
        <v>0</v>
      </c>
      <c r="I17" s="20">
        <f>0</f>
        <v>0</v>
      </c>
      <c r="J17" s="20">
        <f>2086307275.96</f>
        <v>2086307275.96</v>
      </c>
      <c r="K17" s="20">
        <f>0</f>
        <v>0</v>
      </c>
      <c r="L17" s="20">
        <f>166393600</f>
        <v>166393600</v>
      </c>
      <c r="M17" s="20">
        <f>0</f>
        <v>0</v>
      </c>
      <c r="N17" s="20">
        <f>0</f>
        <v>0</v>
      </c>
      <c r="O17" s="20">
        <f>1868957648.17</f>
        <v>1868957648.1700001</v>
      </c>
      <c r="P17" s="20">
        <f>1868957648.17</f>
        <v>1868957648.1700001</v>
      </c>
      <c r="Q17" s="20">
        <f>0</f>
        <v>0</v>
      </c>
    </row>
    <row r="18" spans="1:17" ht="22.5" customHeight="1" x14ac:dyDescent="0.2">
      <c r="A18" s="17" t="s">
        <v>49</v>
      </c>
      <c r="B18" s="21">
        <f>0</f>
        <v>0</v>
      </c>
      <c r="C18" s="21">
        <f>0</f>
        <v>0</v>
      </c>
      <c r="D18" s="21">
        <f>0</f>
        <v>0</v>
      </c>
      <c r="E18" s="21">
        <f>0</f>
        <v>0</v>
      </c>
      <c r="F18" s="21">
        <f>0</f>
        <v>0</v>
      </c>
      <c r="G18" s="21">
        <f>0</f>
        <v>0</v>
      </c>
      <c r="H18" s="21">
        <f>0</f>
        <v>0</v>
      </c>
      <c r="I18" s="21">
        <f>0</f>
        <v>0</v>
      </c>
      <c r="J18" s="21">
        <f>0</f>
        <v>0</v>
      </c>
      <c r="K18" s="21">
        <f>0</f>
        <v>0</v>
      </c>
      <c r="L18" s="21">
        <f>0</f>
        <v>0</v>
      </c>
      <c r="M18" s="21">
        <f>0</f>
        <v>0</v>
      </c>
      <c r="N18" s="21">
        <f>0</f>
        <v>0</v>
      </c>
      <c r="O18" s="21">
        <f>0</f>
        <v>0</v>
      </c>
      <c r="P18" s="21">
        <f>0</f>
        <v>0</v>
      </c>
      <c r="Q18" s="21">
        <f>0</f>
        <v>0</v>
      </c>
    </row>
    <row r="19" spans="1:17" ht="22.5" customHeight="1" x14ac:dyDescent="0.2">
      <c r="A19" s="17" t="s">
        <v>50</v>
      </c>
      <c r="B19" s="21">
        <f>4281267400.55</f>
        <v>4281267400.5500002</v>
      </c>
      <c r="C19" s="21">
        <f>2412309752.38</f>
        <v>2412309752.3800001</v>
      </c>
      <c r="D19" s="21">
        <f>159608876.42</f>
        <v>159608876.41999999</v>
      </c>
      <c r="E19" s="21">
        <f>158000000</f>
        <v>158000000</v>
      </c>
      <c r="F19" s="21">
        <f>0</f>
        <v>0</v>
      </c>
      <c r="G19" s="21">
        <f>1608876.42</f>
        <v>1608876.42</v>
      </c>
      <c r="H19" s="21">
        <f>0</f>
        <v>0</v>
      </c>
      <c r="I19" s="21">
        <f>0</f>
        <v>0</v>
      </c>
      <c r="J19" s="21">
        <f>2086307275.96</f>
        <v>2086307275.96</v>
      </c>
      <c r="K19" s="21">
        <f>0</f>
        <v>0</v>
      </c>
      <c r="L19" s="21">
        <f>166393600</f>
        <v>166393600</v>
      </c>
      <c r="M19" s="21">
        <f>0</f>
        <v>0</v>
      </c>
      <c r="N19" s="21">
        <f>0</f>
        <v>0</v>
      </c>
      <c r="O19" s="21">
        <f>1868957648.17</f>
        <v>1868957648.1700001</v>
      </c>
      <c r="P19" s="21">
        <f>1868957648.17</f>
        <v>1868957648.1700001</v>
      </c>
      <c r="Q19" s="21">
        <f>0</f>
        <v>0</v>
      </c>
    </row>
    <row r="20" spans="1:17" ht="36" customHeight="1" x14ac:dyDescent="0.2">
      <c r="A20" s="19" t="s">
        <v>51</v>
      </c>
      <c r="B20" s="20">
        <f>0</f>
        <v>0</v>
      </c>
      <c r="C20" s="20">
        <f>0</f>
        <v>0</v>
      </c>
      <c r="D20" s="20">
        <f>0</f>
        <v>0</v>
      </c>
      <c r="E20" s="20">
        <f>0</f>
        <v>0</v>
      </c>
      <c r="F20" s="20">
        <f>0</f>
        <v>0</v>
      </c>
      <c r="G20" s="20">
        <f>0</f>
        <v>0</v>
      </c>
      <c r="H20" s="20">
        <f>0</f>
        <v>0</v>
      </c>
      <c r="I20" s="20">
        <f>0</f>
        <v>0</v>
      </c>
      <c r="J20" s="20">
        <f>0</f>
        <v>0</v>
      </c>
      <c r="K20" s="20">
        <f>0</f>
        <v>0</v>
      </c>
      <c r="L20" s="20">
        <f>0</f>
        <v>0</v>
      </c>
      <c r="M20" s="20">
        <f>0</f>
        <v>0</v>
      </c>
      <c r="N20" s="20">
        <f>0</f>
        <v>0</v>
      </c>
      <c r="O20" s="20">
        <f>0</f>
        <v>0</v>
      </c>
      <c r="P20" s="20">
        <f>0</f>
        <v>0</v>
      </c>
      <c r="Q20" s="20">
        <f>0</f>
        <v>0</v>
      </c>
    </row>
    <row r="21" spans="1:17" ht="36" customHeight="1" x14ac:dyDescent="0.2">
      <c r="A21" s="19" t="s">
        <v>52</v>
      </c>
      <c r="B21" s="20">
        <f>2225464.23</f>
        <v>2225464.23</v>
      </c>
      <c r="C21" s="20">
        <f>2225464.23</f>
        <v>2225464.23</v>
      </c>
      <c r="D21" s="20">
        <f>28192</f>
        <v>28192</v>
      </c>
      <c r="E21" s="20">
        <f>0</f>
        <v>0</v>
      </c>
      <c r="F21" s="20">
        <f>0</f>
        <v>0</v>
      </c>
      <c r="G21" s="20">
        <f>28192</f>
        <v>28192</v>
      </c>
      <c r="H21" s="20">
        <f>0</f>
        <v>0</v>
      </c>
      <c r="I21" s="20">
        <f>0</f>
        <v>0</v>
      </c>
      <c r="J21" s="20">
        <f>1196</f>
        <v>1196</v>
      </c>
      <c r="K21" s="20">
        <f>0</f>
        <v>0</v>
      </c>
      <c r="L21" s="20">
        <f>858902.87</f>
        <v>858902.87</v>
      </c>
      <c r="M21" s="20">
        <f>1329927.18</f>
        <v>1329927.18</v>
      </c>
      <c r="N21" s="20">
        <f>7246.18</f>
        <v>7246.18</v>
      </c>
      <c r="O21" s="20">
        <f>0</f>
        <v>0</v>
      </c>
      <c r="P21" s="20">
        <f>0</f>
        <v>0</v>
      </c>
      <c r="Q21" s="20">
        <f>0</f>
        <v>0</v>
      </c>
    </row>
    <row r="22" spans="1:17" ht="30" customHeight="1" x14ac:dyDescent="0.2">
      <c r="A22" s="17" t="s">
        <v>53</v>
      </c>
      <c r="B22" s="21">
        <f>933501.8</f>
        <v>933501.8</v>
      </c>
      <c r="C22" s="21">
        <f>933501.8</f>
        <v>933501.8</v>
      </c>
      <c r="D22" s="21">
        <f>27792</f>
        <v>27792</v>
      </c>
      <c r="E22" s="21">
        <f>0</f>
        <v>0</v>
      </c>
      <c r="F22" s="21">
        <f>0</f>
        <v>0</v>
      </c>
      <c r="G22" s="21">
        <f>27792</f>
        <v>27792</v>
      </c>
      <c r="H22" s="21">
        <f>0</f>
        <v>0</v>
      </c>
      <c r="I22" s="21">
        <f>0</f>
        <v>0</v>
      </c>
      <c r="J22" s="21">
        <f>0</f>
        <v>0</v>
      </c>
      <c r="K22" s="21">
        <f>0</f>
        <v>0</v>
      </c>
      <c r="L22" s="21">
        <f>842652.87</f>
        <v>842652.87</v>
      </c>
      <c r="M22" s="21">
        <f>55810.75</f>
        <v>55810.75</v>
      </c>
      <c r="N22" s="21">
        <f>7246.18</f>
        <v>7246.18</v>
      </c>
      <c r="O22" s="21">
        <f>0</f>
        <v>0</v>
      </c>
      <c r="P22" s="21">
        <f>0</f>
        <v>0</v>
      </c>
      <c r="Q22" s="21">
        <f>0</f>
        <v>0</v>
      </c>
    </row>
    <row r="23" spans="1:17" ht="28.5" customHeight="1" x14ac:dyDescent="0.2">
      <c r="A23" s="17" t="s">
        <v>54</v>
      </c>
      <c r="B23" s="21">
        <f>1291962.43</f>
        <v>1291962.43</v>
      </c>
      <c r="C23" s="21">
        <f>1291962.43</f>
        <v>1291962.43</v>
      </c>
      <c r="D23" s="21">
        <f>400</f>
        <v>400</v>
      </c>
      <c r="E23" s="21">
        <f>0</f>
        <v>0</v>
      </c>
      <c r="F23" s="21">
        <f>0</f>
        <v>0</v>
      </c>
      <c r="G23" s="21">
        <f>400</f>
        <v>400</v>
      </c>
      <c r="H23" s="21">
        <f>0</f>
        <v>0</v>
      </c>
      <c r="I23" s="21">
        <f>0</f>
        <v>0</v>
      </c>
      <c r="J23" s="21">
        <f>1196</f>
        <v>1196</v>
      </c>
      <c r="K23" s="21">
        <f>0</f>
        <v>0</v>
      </c>
      <c r="L23" s="21">
        <f>16250</f>
        <v>16250</v>
      </c>
      <c r="M23" s="21">
        <f>1274116.43</f>
        <v>1274116.43</v>
      </c>
      <c r="N23" s="21">
        <f>0</f>
        <v>0</v>
      </c>
      <c r="O23" s="21">
        <f>0</f>
        <v>0</v>
      </c>
      <c r="P23" s="21">
        <f>0</f>
        <v>0</v>
      </c>
      <c r="Q23" s="21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9.5" customHeigh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9.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45.75" customHeight="1" x14ac:dyDescent="0.2">
      <c r="A29" s="30" t="str">
        <f>CONCATENATE("Informacja z wykonania budżetów województw za  ",$C$93," ",$B$94," roku    ",$B$96,"")</f>
        <v xml:space="preserve">Informacja z wykonania budżetów województw za  II Kwartały 2024 roku    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1" spans="1:17" ht="13.5" customHeight="1" x14ac:dyDescent="0.2">
      <c r="A31" s="40" t="s">
        <v>11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3" spans="1:17" ht="13.5" customHeight="1" x14ac:dyDescent="0.2">
      <c r="A33" s="61" t="s">
        <v>0</v>
      </c>
      <c r="B33" s="31" t="s">
        <v>12</v>
      </c>
      <c r="C33" s="66" t="s">
        <v>14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6" t="s">
        <v>24</v>
      </c>
      <c r="P33" s="67"/>
      <c r="Q33" s="68"/>
    </row>
    <row r="34" spans="1:17" ht="13.5" customHeight="1" x14ac:dyDescent="0.2">
      <c r="A34" s="62"/>
      <c r="B34" s="32"/>
      <c r="C34" s="32" t="s">
        <v>13</v>
      </c>
      <c r="D34" s="29" t="s">
        <v>15</v>
      </c>
      <c r="E34" s="29" t="s">
        <v>25</v>
      </c>
      <c r="F34" s="29" t="s">
        <v>26</v>
      </c>
      <c r="G34" s="29" t="s">
        <v>72</v>
      </c>
      <c r="H34" s="29" t="s">
        <v>28</v>
      </c>
      <c r="I34" s="29" t="s">
        <v>1</v>
      </c>
      <c r="J34" s="29" t="s">
        <v>16</v>
      </c>
      <c r="K34" s="29" t="s">
        <v>17</v>
      </c>
      <c r="L34" s="29" t="s">
        <v>18</v>
      </c>
      <c r="M34" s="29" t="s">
        <v>19</v>
      </c>
      <c r="N34" s="34" t="s">
        <v>20</v>
      </c>
      <c r="O34" s="29" t="s">
        <v>21</v>
      </c>
      <c r="P34" s="29" t="s">
        <v>22</v>
      </c>
      <c r="Q34" s="31" t="s">
        <v>23</v>
      </c>
    </row>
    <row r="35" spans="1:17" ht="13.5" customHeight="1" x14ac:dyDescent="0.2">
      <c r="A35" s="62"/>
      <c r="B35" s="32"/>
      <c r="C35" s="3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4"/>
      <c r="O35" s="29"/>
      <c r="P35" s="29"/>
      <c r="Q35" s="32"/>
    </row>
    <row r="36" spans="1:17" ht="11.25" customHeight="1" x14ac:dyDescent="0.2">
      <c r="A36" s="62"/>
      <c r="B36" s="32"/>
      <c r="C36" s="3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4"/>
      <c r="O36" s="29"/>
      <c r="P36" s="29"/>
      <c r="Q36" s="32"/>
    </row>
    <row r="37" spans="1:17" ht="11.25" customHeight="1" x14ac:dyDescent="0.2">
      <c r="A37" s="63"/>
      <c r="B37" s="33"/>
      <c r="C37" s="3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4"/>
      <c r="O37" s="29"/>
      <c r="P37" s="29"/>
      <c r="Q37" s="33"/>
    </row>
    <row r="38" spans="1:17" ht="11.25" customHeight="1" x14ac:dyDescent="0.2">
      <c r="A38" s="13">
        <v>1</v>
      </c>
      <c r="B38" s="13">
        <v>2</v>
      </c>
      <c r="C38" s="13">
        <v>3</v>
      </c>
      <c r="D38" s="13">
        <v>4</v>
      </c>
      <c r="E38" s="13">
        <v>5</v>
      </c>
      <c r="F38" s="13">
        <v>6</v>
      </c>
      <c r="G38" s="13">
        <v>7</v>
      </c>
      <c r="H38" s="13">
        <v>8</v>
      </c>
      <c r="I38" s="13">
        <v>9</v>
      </c>
      <c r="J38" s="13">
        <v>10</v>
      </c>
      <c r="K38" s="13">
        <v>11</v>
      </c>
      <c r="L38" s="13">
        <v>12</v>
      </c>
      <c r="M38" s="13">
        <v>13</v>
      </c>
      <c r="N38" s="13">
        <v>14</v>
      </c>
      <c r="O38" s="13">
        <v>15</v>
      </c>
      <c r="P38" s="13">
        <v>16</v>
      </c>
      <c r="Q38" s="13">
        <v>17</v>
      </c>
    </row>
    <row r="39" spans="1:17" ht="13.5" customHeight="1" x14ac:dyDescent="0.2">
      <c r="A39" s="13"/>
      <c r="B39" s="69" t="s">
        <v>78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1"/>
    </row>
    <row r="40" spans="1:17" ht="30.75" customHeight="1" x14ac:dyDescent="0.2">
      <c r="A40" s="24" t="s">
        <v>40</v>
      </c>
      <c r="B40" s="22">
        <f>0</f>
        <v>0</v>
      </c>
      <c r="C40" s="22">
        <f>0</f>
        <v>0</v>
      </c>
      <c r="D40" s="22">
        <f>0</f>
        <v>0</v>
      </c>
      <c r="E40" s="22">
        <f>0</f>
        <v>0</v>
      </c>
      <c r="F40" s="22">
        <f>0</f>
        <v>0</v>
      </c>
      <c r="G40" s="22">
        <f>0</f>
        <v>0</v>
      </c>
      <c r="H40" s="22">
        <f>0</f>
        <v>0</v>
      </c>
      <c r="I40" s="22">
        <f>0</f>
        <v>0</v>
      </c>
      <c r="J40" s="22">
        <f>0</f>
        <v>0</v>
      </c>
      <c r="K40" s="22">
        <f>0</f>
        <v>0</v>
      </c>
      <c r="L40" s="22">
        <f>0</f>
        <v>0</v>
      </c>
      <c r="M40" s="22">
        <f>0</f>
        <v>0</v>
      </c>
      <c r="N40" s="22">
        <f>0</f>
        <v>0</v>
      </c>
      <c r="O40" s="22">
        <f>0</f>
        <v>0</v>
      </c>
      <c r="P40" s="22">
        <f>0</f>
        <v>0</v>
      </c>
      <c r="Q40" s="22">
        <f>0</f>
        <v>0</v>
      </c>
    </row>
    <row r="41" spans="1:17" ht="24" customHeight="1" x14ac:dyDescent="0.2">
      <c r="A41" s="18" t="s">
        <v>29</v>
      </c>
      <c r="B41" s="23">
        <f>0</f>
        <v>0</v>
      </c>
      <c r="C41" s="23">
        <f>0</f>
        <v>0</v>
      </c>
      <c r="D41" s="23">
        <f>0</f>
        <v>0</v>
      </c>
      <c r="E41" s="23">
        <f>0</f>
        <v>0</v>
      </c>
      <c r="F41" s="23">
        <f>0</f>
        <v>0</v>
      </c>
      <c r="G41" s="23">
        <f>0</f>
        <v>0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0</f>
        <v>0</v>
      </c>
      <c r="M41" s="23">
        <f>0</f>
        <v>0</v>
      </c>
      <c r="N41" s="23">
        <f>0</f>
        <v>0</v>
      </c>
      <c r="O41" s="23">
        <f>0</f>
        <v>0</v>
      </c>
      <c r="P41" s="23">
        <f>0</f>
        <v>0</v>
      </c>
      <c r="Q41" s="23">
        <f>0</f>
        <v>0</v>
      </c>
    </row>
    <row r="42" spans="1:17" ht="24" customHeight="1" x14ac:dyDescent="0.2">
      <c r="A42" s="18" t="s">
        <v>30</v>
      </c>
      <c r="B42" s="23">
        <f>0</f>
        <v>0</v>
      </c>
      <c r="C42" s="23">
        <f>0</f>
        <v>0</v>
      </c>
      <c r="D42" s="23">
        <f>0</f>
        <v>0</v>
      </c>
      <c r="E42" s="23">
        <f>0</f>
        <v>0</v>
      </c>
      <c r="F42" s="23">
        <f>0</f>
        <v>0</v>
      </c>
      <c r="G42" s="23">
        <f>0</f>
        <v>0</v>
      </c>
      <c r="H42" s="23">
        <f>0</f>
        <v>0</v>
      </c>
      <c r="I42" s="23">
        <f>0</f>
        <v>0</v>
      </c>
      <c r="J42" s="23">
        <f>0</f>
        <v>0</v>
      </c>
      <c r="K42" s="23">
        <f>0</f>
        <v>0</v>
      </c>
      <c r="L42" s="23">
        <f>0</f>
        <v>0</v>
      </c>
      <c r="M42" s="23">
        <f>0</f>
        <v>0</v>
      </c>
      <c r="N42" s="23">
        <f>0</f>
        <v>0</v>
      </c>
      <c r="O42" s="23">
        <f>0</f>
        <v>0</v>
      </c>
      <c r="P42" s="23">
        <f>0</f>
        <v>0</v>
      </c>
      <c r="Q42" s="23">
        <f>0</f>
        <v>0</v>
      </c>
    </row>
    <row r="43" spans="1:17" ht="30.75" customHeight="1" x14ac:dyDescent="0.2">
      <c r="A43" s="24" t="s">
        <v>41</v>
      </c>
      <c r="B43" s="22">
        <f>534939468.2</f>
        <v>534939468.19999999</v>
      </c>
      <c r="C43" s="22">
        <f>534939468.2</f>
        <v>534939468.19999999</v>
      </c>
      <c r="D43" s="22">
        <f>479122141.6</f>
        <v>479122141.60000002</v>
      </c>
      <c r="E43" s="22">
        <f>84115.96</f>
        <v>84115.96</v>
      </c>
      <c r="F43" s="22">
        <f>8561.64</f>
        <v>8561.64</v>
      </c>
      <c r="G43" s="22">
        <f>479029464</f>
        <v>479029464</v>
      </c>
      <c r="H43" s="22">
        <f>0</f>
        <v>0</v>
      </c>
      <c r="I43" s="22">
        <f>0</f>
        <v>0</v>
      </c>
      <c r="J43" s="22">
        <f>0</f>
        <v>0</v>
      </c>
      <c r="K43" s="22">
        <f>0</f>
        <v>0</v>
      </c>
      <c r="L43" s="22">
        <f>51117959.55</f>
        <v>51117959.549999997</v>
      </c>
      <c r="M43" s="22">
        <f>4084408.74</f>
        <v>4084408.74</v>
      </c>
      <c r="N43" s="22">
        <f>614958.31</f>
        <v>614958.31000000006</v>
      </c>
      <c r="O43" s="22">
        <f>0</f>
        <v>0</v>
      </c>
      <c r="P43" s="22">
        <f>0</f>
        <v>0</v>
      </c>
      <c r="Q43" s="22">
        <f>0</f>
        <v>0</v>
      </c>
    </row>
    <row r="44" spans="1:17" ht="24" customHeight="1" x14ac:dyDescent="0.2">
      <c r="A44" s="18" t="s">
        <v>31</v>
      </c>
      <c r="B44" s="23">
        <f>32185498.62</f>
        <v>32185498.620000001</v>
      </c>
      <c r="C44" s="23">
        <f>32185498.62</f>
        <v>32185498.620000001</v>
      </c>
      <c r="D44" s="23">
        <f>32092477</f>
        <v>32092477</v>
      </c>
      <c r="E44" s="23">
        <f>0</f>
        <v>0</v>
      </c>
      <c r="F44" s="23">
        <f>0</f>
        <v>0</v>
      </c>
      <c r="G44" s="23">
        <f>32092477</f>
        <v>32092477</v>
      </c>
      <c r="H44" s="23">
        <f>0</f>
        <v>0</v>
      </c>
      <c r="I44" s="23">
        <f>0</f>
        <v>0</v>
      </c>
      <c r="J44" s="23">
        <f>0</f>
        <v>0</v>
      </c>
      <c r="K44" s="23">
        <f>0</f>
        <v>0</v>
      </c>
      <c r="L44" s="23">
        <f>83021.62</f>
        <v>83021.62</v>
      </c>
      <c r="M44" s="23">
        <f>0</f>
        <v>0</v>
      </c>
      <c r="N44" s="23">
        <f>10000</f>
        <v>10000</v>
      </c>
      <c r="O44" s="23">
        <f>0</f>
        <v>0</v>
      </c>
      <c r="P44" s="23">
        <f>0</f>
        <v>0</v>
      </c>
      <c r="Q44" s="23">
        <f>0</f>
        <v>0</v>
      </c>
    </row>
    <row r="45" spans="1:17" ht="24" customHeight="1" x14ac:dyDescent="0.2">
      <c r="A45" s="18" t="s">
        <v>32</v>
      </c>
      <c r="B45" s="23">
        <f>502753969.58</f>
        <v>502753969.57999998</v>
      </c>
      <c r="C45" s="23">
        <f>502753969.58</f>
        <v>502753969.57999998</v>
      </c>
      <c r="D45" s="23">
        <f>447029664.6</f>
        <v>447029664.60000002</v>
      </c>
      <c r="E45" s="23">
        <f>84115.96</f>
        <v>84115.96</v>
      </c>
      <c r="F45" s="23">
        <f>8561.64</f>
        <v>8561.64</v>
      </c>
      <c r="G45" s="23">
        <f>446936987</f>
        <v>446936987</v>
      </c>
      <c r="H45" s="23">
        <f>0</f>
        <v>0</v>
      </c>
      <c r="I45" s="23">
        <f>0</f>
        <v>0</v>
      </c>
      <c r="J45" s="23">
        <f>0</f>
        <v>0</v>
      </c>
      <c r="K45" s="23">
        <f>0</f>
        <v>0</v>
      </c>
      <c r="L45" s="23">
        <f>51034937.93</f>
        <v>51034937.93</v>
      </c>
      <c r="M45" s="23">
        <f>4084408.74</f>
        <v>4084408.74</v>
      </c>
      <c r="N45" s="23">
        <f>604958.31</f>
        <v>604958.31000000006</v>
      </c>
      <c r="O45" s="23">
        <f>0</f>
        <v>0</v>
      </c>
      <c r="P45" s="23">
        <f>0</f>
        <v>0</v>
      </c>
      <c r="Q45" s="23">
        <f>0</f>
        <v>0</v>
      </c>
    </row>
    <row r="46" spans="1:17" ht="30.75" customHeight="1" x14ac:dyDescent="0.2">
      <c r="A46" s="24" t="s">
        <v>42</v>
      </c>
      <c r="B46" s="22">
        <f>10248731188.66</f>
        <v>10248731188.66</v>
      </c>
      <c r="C46" s="22">
        <f>10248463379</f>
        <v>10248463379</v>
      </c>
      <c r="D46" s="22">
        <f>419432.72</f>
        <v>419432.72</v>
      </c>
      <c r="E46" s="22">
        <f>600</f>
        <v>600</v>
      </c>
      <c r="F46" s="22">
        <f>16265.52</f>
        <v>16265.52</v>
      </c>
      <c r="G46" s="22">
        <f>402567.2</f>
        <v>402567.2</v>
      </c>
      <c r="H46" s="22">
        <f>0</f>
        <v>0</v>
      </c>
      <c r="I46" s="22">
        <f>0</f>
        <v>0</v>
      </c>
      <c r="J46" s="22">
        <f>10244426564.31</f>
        <v>10244426564.309999</v>
      </c>
      <c r="K46" s="22">
        <f>0</f>
        <v>0</v>
      </c>
      <c r="L46" s="22">
        <f>3608318.34</f>
        <v>3608318.34</v>
      </c>
      <c r="M46" s="22">
        <f>9063.63</f>
        <v>9063.6299999999992</v>
      </c>
      <c r="N46" s="22">
        <f>0</f>
        <v>0</v>
      </c>
      <c r="O46" s="22">
        <f>267809.66</f>
        <v>267809.65999999997</v>
      </c>
      <c r="P46" s="22">
        <f>267809.66</f>
        <v>267809.65999999997</v>
      </c>
      <c r="Q46" s="22">
        <f>0</f>
        <v>0</v>
      </c>
    </row>
    <row r="47" spans="1:17" ht="24" customHeight="1" x14ac:dyDescent="0.2">
      <c r="A47" s="18" t="s">
        <v>33</v>
      </c>
      <c r="B47" s="23">
        <f>402567.2</f>
        <v>402567.2</v>
      </c>
      <c r="C47" s="23">
        <f>402567.2</f>
        <v>402567.2</v>
      </c>
      <c r="D47" s="23">
        <f>402567.2</f>
        <v>402567.2</v>
      </c>
      <c r="E47" s="23">
        <f>0</f>
        <v>0</v>
      </c>
      <c r="F47" s="23">
        <f>0</f>
        <v>0</v>
      </c>
      <c r="G47" s="23">
        <f>402567.2</f>
        <v>402567.2</v>
      </c>
      <c r="H47" s="23">
        <f>0</f>
        <v>0</v>
      </c>
      <c r="I47" s="23">
        <f>0</f>
        <v>0</v>
      </c>
      <c r="J47" s="23">
        <f>0</f>
        <v>0</v>
      </c>
      <c r="K47" s="23">
        <f>0</f>
        <v>0</v>
      </c>
      <c r="L47" s="23">
        <f>0</f>
        <v>0</v>
      </c>
      <c r="M47" s="23">
        <f>0</f>
        <v>0</v>
      </c>
      <c r="N47" s="23">
        <f>0</f>
        <v>0</v>
      </c>
      <c r="O47" s="23">
        <f>0</f>
        <v>0</v>
      </c>
      <c r="P47" s="23">
        <f>0</f>
        <v>0</v>
      </c>
      <c r="Q47" s="23">
        <f>0</f>
        <v>0</v>
      </c>
    </row>
    <row r="48" spans="1:17" ht="24" customHeight="1" x14ac:dyDescent="0.2">
      <c r="A48" s="18" t="s">
        <v>34</v>
      </c>
      <c r="B48" s="23">
        <f>6144400786.52</f>
        <v>6144400786.5200005</v>
      </c>
      <c r="C48" s="23">
        <f>6144400786.52</f>
        <v>6144400786.5200005</v>
      </c>
      <c r="D48" s="23">
        <f>600</f>
        <v>600</v>
      </c>
      <c r="E48" s="23">
        <f>600</f>
        <v>600</v>
      </c>
      <c r="F48" s="23">
        <f>0</f>
        <v>0</v>
      </c>
      <c r="G48" s="23">
        <f>0</f>
        <v>0</v>
      </c>
      <c r="H48" s="23">
        <f>0</f>
        <v>0</v>
      </c>
      <c r="I48" s="23">
        <f>0</f>
        <v>0</v>
      </c>
      <c r="J48" s="23">
        <f>6140816144.29</f>
        <v>6140816144.29</v>
      </c>
      <c r="K48" s="23">
        <f>0</f>
        <v>0</v>
      </c>
      <c r="L48" s="23">
        <f>3574978.6</f>
        <v>3574978.6</v>
      </c>
      <c r="M48" s="23">
        <f>9063.63</f>
        <v>9063.6299999999992</v>
      </c>
      <c r="N48" s="23">
        <f>0</f>
        <v>0</v>
      </c>
      <c r="O48" s="23">
        <f>0</f>
        <v>0</v>
      </c>
      <c r="P48" s="23">
        <f>0</f>
        <v>0</v>
      </c>
      <c r="Q48" s="23">
        <f>0</f>
        <v>0</v>
      </c>
    </row>
    <row r="49" spans="1:17" ht="24" customHeight="1" x14ac:dyDescent="0.2">
      <c r="A49" s="18" t="s">
        <v>35</v>
      </c>
      <c r="B49" s="23">
        <f>4103927834.94</f>
        <v>4103927834.9400001</v>
      </c>
      <c r="C49" s="23">
        <f>4103660025.28</f>
        <v>4103660025.2800002</v>
      </c>
      <c r="D49" s="23">
        <f>16265.52</f>
        <v>16265.52</v>
      </c>
      <c r="E49" s="23">
        <f>0</f>
        <v>0</v>
      </c>
      <c r="F49" s="23">
        <f>16265.52</f>
        <v>16265.52</v>
      </c>
      <c r="G49" s="23">
        <f>0</f>
        <v>0</v>
      </c>
      <c r="H49" s="23">
        <f>0</f>
        <v>0</v>
      </c>
      <c r="I49" s="23">
        <f>0</f>
        <v>0</v>
      </c>
      <c r="J49" s="23">
        <f>4103610420.02</f>
        <v>4103610420.02</v>
      </c>
      <c r="K49" s="23">
        <f>0</f>
        <v>0</v>
      </c>
      <c r="L49" s="23">
        <f>33339.74</f>
        <v>33339.74</v>
      </c>
      <c r="M49" s="23">
        <f>0</f>
        <v>0</v>
      </c>
      <c r="N49" s="23">
        <f>0</f>
        <v>0</v>
      </c>
      <c r="O49" s="23">
        <f>267809.66</f>
        <v>267809.65999999997</v>
      </c>
      <c r="P49" s="23">
        <f>267809.66</f>
        <v>267809.65999999997</v>
      </c>
      <c r="Q49" s="23">
        <f>0</f>
        <v>0</v>
      </c>
    </row>
    <row r="50" spans="1:17" ht="30.75" customHeight="1" x14ac:dyDescent="0.2">
      <c r="A50" s="24" t="s">
        <v>43</v>
      </c>
      <c r="B50" s="22">
        <f>4904223089.53</f>
        <v>4904223089.5299997</v>
      </c>
      <c r="C50" s="22">
        <f>4901814644.78</f>
        <v>4901814644.7799997</v>
      </c>
      <c r="D50" s="22">
        <f>13028594.67</f>
        <v>13028594.67</v>
      </c>
      <c r="E50" s="22">
        <f>25495.88</f>
        <v>25495.88</v>
      </c>
      <c r="F50" s="22">
        <f>57907.04</f>
        <v>57907.040000000001</v>
      </c>
      <c r="G50" s="22">
        <f>12943551.25</f>
        <v>12943551.25</v>
      </c>
      <c r="H50" s="22">
        <f>1640.5</f>
        <v>1640.5</v>
      </c>
      <c r="I50" s="22">
        <f>0</f>
        <v>0</v>
      </c>
      <c r="J50" s="22">
        <f>20496.92</f>
        <v>20496.919999999998</v>
      </c>
      <c r="K50" s="22">
        <f>15777759.44</f>
        <v>15777759.439999999</v>
      </c>
      <c r="L50" s="22">
        <f>1919576889.61</f>
        <v>1919576889.6099999</v>
      </c>
      <c r="M50" s="22">
        <f>2927241191.07</f>
        <v>2927241191.0700002</v>
      </c>
      <c r="N50" s="22">
        <f>26169713.07</f>
        <v>26169713.07</v>
      </c>
      <c r="O50" s="22">
        <f>2408444.75</f>
        <v>2408444.75</v>
      </c>
      <c r="P50" s="22">
        <f>1872780.89</f>
        <v>1872780.89</v>
      </c>
      <c r="Q50" s="22">
        <f>535663.86</f>
        <v>535663.86</v>
      </c>
    </row>
    <row r="51" spans="1:17" ht="30" customHeight="1" x14ac:dyDescent="0.2">
      <c r="A51" s="18" t="s">
        <v>36</v>
      </c>
      <c r="B51" s="23">
        <f>89380149.37</f>
        <v>89380149.370000005</v>
      </c>
      <c r="C51" s="23">
        <f>89372841.75</f>
        <v>89372841.75</v>
      </c>
      <c r="D51" s="23">
        <f>461233.57</f>
        <v>461233.57</v>
      </c>
      <c r="E51" s="23">
        <f>0</f>
        <v>0</v>
      </c>
      <c r="F51" s="23">
        <f>0</f>
        <v>0</v>
      </c>
      <c r="G51" s="23">
        <f>460073.57</f>
        <v>460073.57</v>
      </c>
      <c r="H51" s="23">
        <f>1160</f>
        <v>1160</v>
      </c>
      <c r="I51" s="23">
        <f>0</f>
        <v>0</v>
      </c>
      <c r="J51" s="23">
        <f>998.91</f>
        <v>998.91</v>
      </c>
      <c r="K51" s="23">
        <f>0</f>
        <v>0</v>
      </c>
      <c r="L51" s="23">
        <f>81140400.34</f>
        <v>81140400.340000004</v>
      </c>
      <c r="M51" s="23">
        <f>7163867.27</f>
        <v>7163867.2699999996</v>
      </c>
      <c r="N51" s="23">
        <f>606341.66</f>
        <v>606341.66</v>
      </c>
      <c r="O51" s="23">
        <f>7307.62</f>
        <v>7307.62</v>
      </c>
      <c r="P51" s="23">
        <f>7307.62</f>
        <v>7307.62</v>
      </c>
      <c r="Q51" s="23">
        <f>0</f>
        <v>0</v>
      </c>
    </row>
    <row r="52" spans="1:17" ht="24" customHeight="1" x14ac:dyDescent="0.2">
      <c r="A52" s="18" t="s">
        <v>37</v>
      </c>
      <c r="B52" s="23">
        <f>4814842940.16</f>
        <v>4814842940.1599998</v>
      </c>
      <c r="C52" s="23">
        <f>4812441803.03</f>
        <v>4812441803.0299997</v>
      </c>
      <c r="D52" s="23">
        <f>12567361.1</f>
        <v>12567361.1</v>
      </c>
      <c r="E52" s="23">
        <f>25495.88</f>
        <v>25495.88</v>
      </c>
      <c r="F52" s="23">
        <f>57907.04</f>
        <v>57907.040000000001</v>
      </c>
      <c r="G52" s="23">
        <f>12483477.68</f>
        <v>12483477.68</v>
      </c>
      <c r="H52" s="23">
        <f>480.5</f>
        <v>480.5</v>
      </c>
      <c r="I52" s="23">
        <f>0</f>
        <v>0</v>
      </c>
      <c r="J52" s="23">
        <f>19498.01</f>
        <v>19498.009999999998</v>
      </c>
      <c r="K52" s="23">
        <f>15777759.44</f>
        <v>15777759.439999999</v>
      </c>
      <c r="L52" s="23">
        <f>1838436489.27</f>
        <v>1838436489.27</v>
      </c>
      <c r="M52" s="23">
        <f>2920077323.8</f>
        <v>2920077323.8000002</v>
      </c>
      <c r="N52" s="23">
        <f>25563371.41</f>
        <v>25563371.41</v>
      </c>
      <c r="O52" s="23">
        <f>2401137.13</f>
        <v>2401137.13</v>
      </c>
      <c r="P52" s="23">
        <f>1865473.27</f>
        <v>1865473.27</v>
      </c>
      <c r="Q52" s="23">
        <f>535663.86</f>
        <v>535663.86</v>
      </c>
    </row>
    <row r="53" spans="1:17" ht="30.75" customHeight="1" x14ac:dyDescent="0.2">
      <c r="A53" s="24" t="s">
        <v>44</v>
      </c>
      <c r="B53" s="22">
        <f>1347541134.89</f>
        <v>1347541134.8900001</v>
      </c>
      <c r="C53" s="22">
        <f>1343982130.83</f>
        <v>1343982130.8299999</v>
      </c>
      <c r="D53" s="22">
        <f>156985908.61</f>
        <v>156985908.61000001</v>
      </c>
      <c r="E53" s="22">
        <f>27941298.73</f>
        <v>27941298.73</v>
      </c>
      <c r="F53" s="22">
        <f>727391.83</f>
        <v>727391.83</v>
      </c>
      <c r="G53" s="22">
        <f>128097358.48</f>
        <v>128097358.48</v>
      </c>
      <c r="H53" s="22">
        <f>219859.57</f>
        <v>219859.57</v>
      </c>
      <c r="I53" s="22">
        <f>0</f>
        <v>0</v>
      </c>
      <c r="J53" s="22">
        <f>270550.68</f>
        <v>270550.68</v>
      </c>
      <c r="K53" s="22">
        <f>13240.59</f>
        <v>13240.59</v>
      </c>
      <c r="L53" s="22">
        <f>964576089.93</f>
        <v>964576089.92999995</v>
      </c>
      <c r="M53" s="22">
        <f>205697631.47</f>
        <v>205697631.47</v>
      </c>
      <c r="N53" s="22">
        <f>16438709.55</f>
        <v>16438709.550000001</v>
      </c>
      <c r="O53" s="22">
        <f>3559004.06</f>
        <v>3559004.06</v>
      </c>
      <c r="P53" s="22">
        <f>2497972.12</f>
        <v>2497972.12</v>
      </c>
      <c r="Q53" s="22">
        <f>1061031.94</f>
        <v>1061031.94</v>
      </c>
    </row>
    <row r="54" spans="1:17" ht="30" customHeight="1" x14ac:dyDescent="0.2">
      <c r="A54" s="18" t="s">
        <v>38</v>
      </c>
      <c r="B54" s="23">
        <f>56287484.56</f>
        <v>56287484.560000002</v>
      </c>
      <c r="C54" s="23">
        <f>56247747.62</f>
        <v>56247747.619999997</v>
      </c>
      <c r="D54" s="23">
        <f>7331177.78</f>
        <v>7331177.7800000003</v>
      </c>
      <c r="E54" s="23">
        <f>185735.77</f>
        <v>185735.77</v>
      </c>
      <c r="F54" s="23">
        <f>75197.77</f>
        <v>75197.77</v>
      </c>
      <c r="G54" s="23">
        <f>7070244.24</f>
        <v>7070244.2400000002</v>
      </c>
      <c r="H54" s="23">
        <f>0</f>
        <v>0</v>
      </c>
      <c r="I54" s="23">
        <f>0</f>
        <v>0</v>
      </c>
      <c r="J54" s="23">
        <f>0</f>
        <v>0</v>
      </c>
      <c r="K54" s="23">
        <f>11642.33</f>
        <v>11642.33</v>
      </c>
      <c r="L54" s="23">
        <f>43683328.16</f>
        <v>43683328.159999996</v>
      </c>
      <c r="M54" s="23">
        <f>4592907.45</f>
        <v>4592907.45</v>
      </c>
      <c r="N54" s="23">
        <f>628691.9</f>
        <v>628691.9</v>
      </c>
      <c r="O54" s="23">
        <f>39736.94</f>
        <v>39736.94</v>
      </c>
      <c r="P54" s="23">
        <f>0</f>
        <v>0</v>
      </c>
      <c r="Q54" s="23">
        <f>39736.94</f>
        <v>39736.94</v>
      </c>
    </row>
    <row r="55" spans="1:17" ht="33" customHeight="1" x14ac:dyDescent="0.2">
      <c r="A55" s="18" t="s">
        <v>80</v>
      </c>
      <c r="B55" s="23">
        <f>98.64</f>
        <v>98.64</v>
      </c>
      <c r="C55" s="23">
        <f>98.64</f>
        <v>98.64</v>
      </c>
      <c r="D55" s="23">
        <f>92.74</f>
        <v>92.74</v>
      </c>
      <c r="E55" s="23">
        <f>0</f>
        <v>0</v>
      </c>
      <c r="F55" s="23">
        <f>0</f>
        <v>0</v>
      </c>
      <c r="G55" s="23">
        <f>0</f>
        <v>0</v>
      </c>
      <c r="H55" s="23">
        <f>92.74</f>
        <v>92.74</v>
      </c>
      <c r="I55" s="23">
        <f>0</f>
        <v>0</v>
      </c>
      <c r="J55" s="23">
        <f>0</f>
        <v>0</v>
      </c>
      <c r="K55" s="23">
        <f>5.9</f>
        <v>5.9</v>
      </c>
      <c r="L55" s="23">
        <f>0</f>
        <v>0</v>
      </c>
      <c r="M55" s="23">
        <f>0</f>
        <v>0</v>
      </c>
      <c r="N55" s="23">
        <f>0</f>
        <v>0</v>
      </c>
      <c r="O55" s="23">
        <f>0</f>
        <v>0</v>
      </c>
      <c r="P55" s="23">
        <f>0</f>
        <v>0</v>
      </c>
      <c r="Q55" s="23">
        <f>0</f>
        <v>0</v>
      </c>
    </row>
    <row r="56" spans="1:17" ht="33" customHeight="1" x14ac:dyDescent="0.2">
      <c r="A56" s="18" t="s">
        <v>39</v>
      </c>
      <c r="B56" s="23">
        <f>1291253551.69</f>
        <v>1291253551.6900001</v>
      </c>
      <c r="C56" s="23">
        <f>1287734284.57</f>
        <v>1287734284.5699999</v>
      </c>
      <c r="D56" s="23">
        <f>149654638.09</f>
        <v>149654638.09</v>
      </c>
      <c r="E56" s="23">
        <f>27755562.96</f>
        <v>27755562.960000001</v>
      </c>
      <c r="F56" s="23">
        <f>652194.06</f>
        <v>652194.06000000006</v>
      </c>
      <c r="G56" s="23">
        <f>121027114.24</f>
        <v>121027114.23999999</v>
      </c>
      <c r="H56" s="23">
        <f>219766.83</f>
        <v>219766.83</v>
      </c>
      <c r="I56" s="23">
        <f>0</f>
        <v>0</v>
      </c>
      <c r="J56" s="23">
        <f>270550.68</f>
        <v>270550.68</v>
      </c>
      <c r="K56" s="23">
        <f>1592.36</f>
        <v>1592.36</v>
      </c>
      <c r="L56" s="23">
        <f>920892761.77</f>
        <v>920892761.76999998</v>
      </c>
      <c r="M56" s="23">
        <f>201104724.02</f>
        <v>201104724.02000001</v>
      </c>
      <c r="N56" s="23">
        <f>15810017.65</f>
        <v>15810017.65</v>
      </c>
      <c r="O56" s="23">
        <f>3519267.12</f>
        <v>3519267.12</v>
      </c>
      <c r="P56" s="23">
        <f>2497972.12</f>
        <v>2497972.12</v>
      </c>
      <c r="Q56" s="23">
        <f>1021295</f>
        <v>1021295</v>
      </c>
    </row>
    <row r="66" spans="1:13" ht="67.5" customHeight="1" x14ac:dyDescent="0.2">
      <c r="A66" s="30" t="str">
        <f>CONCATENATE("Informacja z wykonania budżetów województw za  ",$C$93," ",$B$94," roku    ",$B$96,"")</f>
        <v xml:space="preserve">Informacja z wykonania budżetów województw za  II Kwartały 2024 roku    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3.5" customHeight="1" x14ac:dyDescent="0.2">
      <c r="B67" s="40" t="s">
        <v>2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9" spans="1:13" ht="13.5" customHeight="1" x14ac:dyDescent="0.2">
      <c r="B69" s="44" t="s">
        <v>0</v>
      </c>
      <c r="C69" s="45"/>
      <c r="D69" s="45"/>
      <c r="E69" s="46"/>
      <c r="F69" s="56" t="s">
        <v>70</v>
      </c>
      <c r="G69" s="41" t="s">
        <v>76</v>
      </c>
      <c r="H69" s="55"/>
      <c r="I69" s="55"/>
      <c r="J69" s="55"/>
      <c r="K69" s="55"/>
      <c r="L69" s="42"/>
    </row>
    <row r="70" spans="1:13" ht="13.5" customHeight="1" x14ac:dyDescent="0.2">
      <c r="B70" s="47"/>
      <c r="C70" s="48"/>
      <c r="D70" s="48"/>
      <c r="E70" s="49"/>
      <c r="F70" s="57"/>
      <c r="G70" s="59" t="s">
        <v>71</v>
      </c>
      <c r="H70" s="43" t="s">
        <v>68</v>
      </c>
      <c r="I70" s="43" t="s">
        <v>69</v>
      </c>
      <c r="J70" s="43" t="s">
        <v>72</v>
      </c>
      <c r="K70" s="43" t="s">
        <v>73</v>
      </c>
      <c r="L70" s="74" t="s">
        <v>74</v>
      </c>
    </row>
    <row r="71" spans="1:13" ht="13.5" customHeight="1" x14ac:dyDescent="0.2">
      <c r="B71" s="47"/>
      <c r="C71" s="48"/>
      <c r="D71" s="48"/>
      <c r="E71" s="49"/>
      <c r="F71" s="57"/>
      <c r="G71" s="59"/>
      <c r="H71" s="43"/>
      <c r="I71" s="43"/>
      <c r="J71" s="43"/>
      <c r="K71" s="43"/>
      <c r="L71" s="74"/>
    </row>
    <row r="72" spans="1:13" ht="11.25" customHeight="1" x14ac:dyDescent="0.2">
      <c r="B72" s="47"/>
      <c r="C72" s="48"/>
      <c r="D72" s="48"/>
      <c r="E72" s="49"/>
      <c r="F72" s="57"/>
      <c r="G72" s="59"/>
      <c r="H72" s="43"/>
      <c r="I72" s="43"/>
      <c r="J72" s="43"/>
      <c r="K72" s="43"/>
      <c r="L72" s="74"/>
    </row>
    <row r="73" spans="1:13" ht="11.25" customHeight="1" x14ac:dyDescent="0.2">
      <c r="B73" s="50"/>
      <c r="C73" s="51"/>
      <c r="D73" s="51"/>
      <c r="E73" s="52"/>
      <c r="F73" s="58"/>
      <c r="G73" s="59"/>
      <c r="H73" s="43"/>
      <c r="I73" s="43"/>
      <c r="J73" s="43"/>
      <c r="K73" s="43"/>
      <c r="L73" s="74"/>
    </row>
    <row r="74" spans="1:13" ht="11.25" customHeight="1" x14ac:dyDescent="0.2">
      <c r="B74" s="43">
        <v>1</v>
      </c>
      <c r="C74" s="43"/>
      <c r="D74" s="43"/>
      <c r="E74" s="43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3">
        <v>8</v>
      </c>
    </row>
    <row r="75" spans="1:13" ht="13.5" customHeight="1" x14ac:dyDescent="0.2">
      <c r="B75" s="43"/>
      <c r="C75" s="43"/>
      <c r="D75" s="43"/>
      <c r="E75" s="43"/>
      <c r="F75" s="41" t="s">
        <v>78</v>
      </c>
      <c r="G75" s="72"/>
      <c r="H75" s="72"/>
      <c r="I75" s="72"/>
      <c r="J75" s="72"/>
      <c r="K75" s="72"/>
      <c r="L75" s="73"/>
    </row>
    <row r="76" spans="1:13" ht="33.75" customHeight="1" x14ac:dyDescent="0.2">
      <c r="B76" s="35" t="s">
        <v>55</v>
      </c>
      <c r="C76" s="36"/>
      <c r="D76" s="36"/>
      <c r="E76" s="37"/>
      <c r="F76" s="25">
        <f>1189776020.75</f>
        <v>1189776020.75</v>
      </c>
      <c r="G76" s="25">
        <f>292672243.66</f>
        <v>292672243.66000003</v>
      </c>
      <c r="H76" s="25">
        <f>0</f>
        <v>0</v>
      </c>
      <c r="I76" s="25">
        <f>0</f>
        <v>0</v>
      </c>
      <c r="J76" s="25">
        <f>292672243.66</f>
        <v>292672243.66000003</v>
      </c>
      <c r="K76" s="25">
        <f>0</f>
        <v>0</v>
      </c>
      <c r="L76" s="25">
        <f>897103777.09</f>
        <v>897103777.09000003</v>
      </c>
    </row>
    <row r="77" spans="1:13" ht="33.75" customHeight="1" x14ac:dyDescent="0.2">
      <c r="B77" s="35" t="s">
        <v>56</v>
      </c>
      <c r="C77" s="36"/>
      <c r="D77" s="36"/>
      <c r="E77" s="37"/>
      <c r="F77" s="25">
        <f>0</f>
        <v>0</v>
      </c>
      <c r="G77" s="25">
        <f>0</f>
        <v>0</v>
      </c>
      <c r="H77" s="25">
        <f>0</f>
        <v>0</v>
      </c>
      <c r="I77" s="25">
        <f>0</f>
        <v>0</v>
      </c>
      <c r="J77" s="25">
        <f>0</f>
        <v>0</v>
      </c>
      <c r="K77" s="25">
        <f>0</f>
        <v>0</v>
      </c>
      <c r="L77" s="25">
        <f>0</f>
        <v>0</v>
      </c>
    </row>
    <row r="78" spans="1:13" ht="33.75" customHeight="1" x14ac:dyDescent="0.2">
      <c r="B78" s="35" t="s">
        <v>57</v>
      </c>
      <c r="C78" s="36"/>
      <c r="D78" s="36"/>
      <c r="E78" s="37"/>
      <c r="F78" s="25">
        <f>24600000</f>
        <v>24600000</v>
      </c>
      <c r="G78" s="25">
        <f>0</f>
        <v>0</v>
      </c>
      <c r="H78" s="25">
        <f>0</f>
        <v>0</v>
      </c>
      <c r="I78" s="25">
        <f>0</f>
        <v>0</v>
      </c>
      <c r="J78" s="25">
        <f>0</f>
        <v>0</v>
      </c>
      <c r="K78" s="25">
        <f>0</f>
        <v>0</v>
      </c>
      <c r="L78" s="25">
        <f>24600000</f>
        <v>24600000</v>
      </c>
    </row>
    <row r="79" spans="1:13" ht="22.5" customHeight="1" x14ac:dyDescent="0.2">
      <c r="B79" s="35" t="s">
        <v>58</v>
      </c>
      <c r="C79" s="36"/>
      <c r="D79" s="36"/>
      <c r="E79" s="37"/>
      <c r="F79" s="25">
        <f>10558273.32</f>
        <v>10558273.32</v>
      </c>
      <c r="G79" s="25">
        <f>7625373.36</f>
        <v>7625373.3600000003</v>
      </c>
      <c r="H79" s="25">
        <f>0</f>
        <v>0</v>
      </c>
      <c r="I79" s="25">
        <f>0</f>
        <v>0</v>
      </c>
      <c r="J79" s="25">
        <f>7625373.36</f>
        <v>7625373.3600000003</v>
      </c>
      <c r="K79" s="25">
        <f>0</f>
        <v>0</v>
      </c>
      <c r="L79" s="25">
        <f>2932899.96</f>
        <v>2932899.96</v>
      </c>
    </row>
    <row r="80" spans="1:13" ht="33.75" customHeight="1" x14ac:dyDescent="0.2">
      <c r="B80" s="35" t="s">
        <v>59</v>
      </c>
      <c r="C80" s="36"/>
      <c r="D80" s="36"/>
      <c r="E80" s="37"/>
      <c r="F80" s="25">
        <f>272139.68</f>
        <v>272139.68</v>
      </c>
      <c r="G80" s="25">
        <f>180544.97</f>
        <v>180544.97</v>
      </c>
      <c r="H80" s="25">
        <f>0</f>
        <v>0</v>
      </c>
      <c r="I80" s="25">
        <f>0</f>
        <v>0</v>
      </c>
      <c r="J80" s="25">
        <f>180544.97</f>
        <v>180544.97</v>
      </c>
      <c r="K80" s="25">
        <f>0</f>
        <v>0</v>
      </c>
      <c r="L80" s="25">
        <f>91594.71</f>
        <v>91594.71</v>
      </c>
    </row>
    <row r="81" spans="1:13" ht="33.75" customHeight="1" x14ac:dyDescent="0.2">
      <c r="B81" s="35" t="s">
        <v>60</v>
      </c>
      <c r="C81" s="36"/>
      <c r="D81" s="36"/>
      <c r="E81" s="37"/>
      <c r="F81" s="25">
        <f>10882575.06</f>
        <v>10882575.060000001</v>
      </c>
      <c r="G81" s="25">
        <f>7949675.1</f>
        <v>7949675.0999999996</v>
      </c>
      <c r="H81" s="25">
        <f>0</f>
        <v>0</v>
      </c>
      <c r="I81" s="25">
        <f>0</f>
        <v>0</v>
      </c>
      <c r="J81" s="25">
        <f>7949675.1</f>
        <v>7949675.0999999996</v>
      </c>
      <c r="K81" s="25">
        <f>0</f>
        <v>0</v>
      </c>
      <c r="L81" s="25">
        <f>2932899.96</f>
        <v>2932899.96</v>
      </c>
    </row>
    <row r="82" spans="1:13" ht="33" customHeight="1" x14ac:dyDescent="0.2">
      <c r="B82" s="35" t="s">
        <v>61</v>
      </c>
      <c r="C82" s="36"/>
      <c r="D82" s="36"/>
      <c r="E82" s="37"/>
      <c r="F82" s="25">
        <f>0</f>
        <v>0</v>
      </c>
      <c r="G82" s="25">
        <f>0</f>
        <v>0</v>
      </c>
      <c r="H82" s="25">
        <f>0</f>
        <v>0</v>
      </c>
      <c r="I82" s="25">
        <f>0</f>
        <v>0</v>
      </c>
      <c r="J82" s="25">
        <f>0</f>
        <v>0</v>
      </c>
      <c r="K82" s="25">
        <f>0</f>
        <v>0</v>
      </c>
      <c r="L82" s="25">
        <f>0</f>
        <v>0</v>
      </c>
    </row>
    <row r="85" spans="1:13" ht="60" customHeight="1" x14ac:dyDescent="0.2">
      <c r="A85" s="30" t="str">
        <f>CONCATENATE("Informacja z wykonania budżetów województw za  ",$C$93," ",$B$94," roku    ",$B$96,"")</f>
        <v xml:space="preserve">Informacja z wykonania budżetów województw za  II Kwartały 2024 roku    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13.5" customHeight="1" x14ac:dyDescent="0.2">
      <c r="B86" s="4"/>
    </row>
    <row r="87" spans="1:13" ht="13.5" customHeight="1" x14ac:dyDescent="0.2">
      <c r="B87" s="5"/>
      <c r="C87" s="41"/>
      <c r="D87" s="55"/>
      <c r="E87" s="55"/>
      <c r="F87" s="42"/>
      <c r="G87" s="41" t="s">
        <v>3</v>
      </c>
      <c r="H87" s="42"/>
      <c r="I87" s="41" t="s">
        <v>4</v>
      </c>
      <c r="J87" s="42"/>
      <c r="K87" s="5"/>
    </row>
    <row r="88" spans="1:13" ht="18" customHeight="1" x14ac:dyDescent="0.2">
      <c r="B88" s="6"/>
      <c r="C88" s="35" t="s">
        <v>5</v>
      </c>
      <c r="D88" s="36"/>
      <c r="E88" s="36"/>
      <c r="F88" s="37"/>
      <c r="G88" s="53">
        <f>16</f>
        <v>16</v>
      </c>
      <c r="H88" s="54"/>
      <c r="I88" s="38">
        <f>5118807387.99</f>
        <v>5118807387.9899998</v>
      </c>
      <c r="J88" s="39"/>
      <c r="K88" s="7"/>
    </row>
    <row r="89" spans="1:13" ht="22.5" customHeight="1" x14ac:dyDescent="0.2">
      <c r="B89" s="6"/>
      <c r="C89" s="35" t="s">
        <v>6</v>
      </c>
      <c r="D89" s="36"/>
      <c r="E89" s="36"/>
      <c r="F89" s="37"/>
      <c r="G89" s="53">
        <f>0</f>
        <v>0</v>
      </c>
      <c r="H89" s="54"/>
      <c r="I89" s="38">
        <f>0</f>
        <v>0</v>
      </c>
      <c r="J89" s="39"/>
      <c r="K89" s="7"/>
    </row>
    <row r="90" spans="1:13" ht="21" customHeight="1" x14ac:dyDescent="0.2">
      <c r="B90" s="6"/>
      <c r="C90" s="35" t="s">
        <v>7</v>
      </c>
      <c r="D90" s="36"/>
      <c r="E90" s="36"/>
      <c r="F90" s="37"/>
      <c r="G90" s="53">
        <f>0</f>
        <v>0</v>
      </c>
      <c r="H90" s="54"/>
      <c r="I90" s="38">
        <f>0</f>
        <v>0</v>
      </c>
      <c r="J90" s="39"/>
      <c r="K90" s="7"/>
    </row>
    <row r="93" spans="1:13" ht="13.5" customHeight="1" x14ac:dyDescent="0.2">
      <c r="A93" s="8" t="s">
        <v>8</v>
      </c>
      <c r="B93" s="8">
        <f>2</f>
        <v>2</v>
      </c>
      <c r="C93" s="8" t="str">
        <f>IF(B93=1,"I Kwartał",IF(B93=2,"II Kwartały",IF(B93=3,"III Kwartały",IF(B93=4,"IV Kwartały","-"))))</f>
        <v>II Kwartały</v>
      </c>
    </row>
    <row r="94" spans="1:13" ht="13.5" customHeight="1" x14ac:dyDescent="0.2">
      <c r="A94" s="8" t="s">
        <v>9</v>
      </c>
      <c r="B94" s="8">
        <f>2024</f>
        <v>2024</v>
      </c>
      <c r="C94" s="9"/>
    </row>
    <row r="95" spans="1:13" ht="13.5" customHeight="1" x14ac:dyDescent="0.2">
      <c r="A95" s="8" t="s">
        <v>10</v>
      </c>
      <c r="B95" s="10" t="str">
        <f>"Aug 14 2024 12:00AM"</f>
        <v>Aug 14 2024 12:00AM</v>
      </c>
      <c r="C95" s="9"/>
    </row>
    <row r="96" spans="1:13" ht="13.5" customHeight="1" x14ac:dyDescent="0.2">
      <c r="A96" s="14" t="s">
        <v>77</v>
      </c>
      <c r="B96" s="10" t="str">
        <f>""</f>
        <v/>
      </c>
    </row>
  </sheetData>
  <mergeCells count="79">
    <mergeCell ref="B39:Q39"/>
    <mergeCell ref="B75:E75"/>
    <mergeCell ref="F75:L75"/>
    <mergeCell ref="L70:L73"/>
    <mergeCell ref="F34:F37"/>
    <mergeCell ref="G34:G37"/>
    <mergeCell ref="H34:H37"/>
    <mergeCell ref="K34:K37"/>
    <mergeCell ref="I34:I37"/>
    <mergeCell ref="P7:P10"/>
    <mergeCell ref="A29:M29"/>
    <mergeCell ref="O33:Q33"/>
    <mergeCell ref="A31:M31"/>
    <mergeCell ref="J34:J37"/>
    <mergeCell ref="A33:A37"/>
    <mergeCell ref="C34:C37"/>
    <mergeCell ref="E34:E37"/>
    <mergeCell ref="B33:B37"/>
    <mergeCell ref="B12:Q12"/>
    <mergeCell ref="G7:G10"/>
    <mergeCell ref="F7:F10"/>
    <mergeCell ref="I7:I10"/>
    <mergeCell ref="J7:J10"/>
    <mergeCell ref="K70:K73"/>
    <mergeCell ref="Q7:Q10"/>
    <mergeCell ref="C33:N33"/>
    <mergeCell ref="L7:L10"/>
    <mergeCell ref="M7:M10"/>
    <mergeCell ref="N7:N10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B80:E80"/>
    <mergeCell ref="B77:E77"/>
    <mergeCell ref="M34:M37"/>
    <mergeCell ref="B76:E76"/>
    <mergeCell ref="F69:F73"/>
    <mergeCell ref="G70:G73"/>
    <mergeCell ref="G69:L69"/>
    <mergeCell ref="H70:H73"/>
    <mergeCell ref="I70:I73"/>
    <mergeCell ref="J70:J73"/>
    <mergeCell ref="G90:H90"/>
    <mergeCell ref="I90:J90"/>
    <mergeCell ref="C87:F87"/>
    <mergeCell ref="C88:F88"/>
    <mergeCell ref="C89:F89"/>
    <mergeCell ref="C90:F90"/>
    <mergeCell ref="G88:H88"/>
    <mergeCell ref="G87:H87"/>
    <mergeCell ref="G89:H89"/>
    <mergeCell ref="I89:J89"/>
    <mergeCell ref="B81:E81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O6:Q6"/>
    <mergeCell ref="O7:O10"/>
    <mergeCell ref="A66:M66"/>
    <mergeCell ref="L34:L37"/>
    <mergeCell ref="P34:P37"/>
    <mergeCell ref="Q34:Q37"/>
    <mergeCell ref="N34:N37"/>
    <mergeCell ref="O34:O37"/>
    <mergeCell ref="D34:D37"/>
    <mergeCell ref="H7:H10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2009-11-20T13:14:31Z</cp:lastPrinted>
  <dcterms:created xsi:type="dcterms:W3CDTF">2001-05-17T08:58:03Z</dcterms:created>
  <dcterms:modified xsi:type="dcterms:W3CDTF">2024-08-26T09:38:12Z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2024-08-26T11:38:02.9979241+02:00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GRN-bdf41fa8-66a1-4872-ac4c-28f746057382</vt:lpwstr>
  </property>
  <property fmtid="{D5CDD505-2E9C-101B-9397-08002B2CF9AE}" pid="7" name="MFHash">
    <vt:lpwstr>H2wuCtfAGuPdOgLHO/w70anUduyAVH9nhlthL/9iYs4=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