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```ST7\Besti@\2022\I kw 2022\Zbiorówki\Zatwierdzone\WWW\Nowy format\www bez definicji\"/>
    </mc:Choice>
  </mc:AlternateContent>
  <bookViews>
    <workbookView xWindow="240" yWindow="120" windowWidth="14220" windowHeight="88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3" i="7" l="1"/>
  <c r="B92" i="7"/>
  <c r="B91" i="7"/>
  <c r="B90" i="7"/>
  <c r="I87" i="7"/>
  <c r="G87" i="7"/>
  <c r="I86" i="7"/>
  <c r="G86" i="7"/>
  <c r="I85" i="7"/>
  <c r="G85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L75" i="7"/>
  <c r="K75" i="7"/>
  <c r="J75" i="7"/>
  <c r="I75" i="7"/>
  <c r="H75" i="7"/>
  <c r="G75" i="7"/>
  <c r="F75" i="7"/>
  <c r="L74" i="7"/>
  <c r="K74" i="7"/>
  <c r="J74" i="7"/>
  <c r="I74" i="7"/>
  <c r="H74" i="7"/>
  <c r="G74" i="7"/>
  <c r="F74" i="7"/>
  <c r="L73" i="7"/>
  <c r="K73" i="7"/>
  <c r="J73" i="7"/>
  <c r="I73" i="7"/>
  <c r="H73" i="7"/>
  <c r="G73" i="7"/>
  <c r="F73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0" i="7"/>
  <c r="A82" i="7" s="1"/>
  <c r="A63" i="7" l="1"/>
  <c r="A27" i="7"/>
  <c r="A1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<sst xmlns="http://schemas.openxmlformats.org/spreadsheetml/2006/main" count="97" uniqueCount="81">
  <si>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</si>
  <si>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</si>
  <si>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</si>
  <si>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</si>
  <si>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</si>
  <si>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</si>
  <si>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</si>
  <si>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</si>
  <si>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</si>
  <si>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</si>
  <si>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</si>
  <si>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</si>
  <si>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</si>
  <si>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</si>
  <si>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</si>
  <si>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</si>
  <si>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</si>
  <si>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</si>
  <si>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</si>
  <si>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</si>
  <si>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</si>
  <si>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</si>
  <si>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</si>
  <si>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</si>
  <si>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</si>
  <si>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</si>
  <si>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</si>
  <si>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</si>
  <si>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</si>
  <si>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</si>
  <si>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</si>
  <si>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</si>
  <si>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</si>
  <si>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</si>
  <si>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</si>
  <si>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</si>
  <si>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</si>
  <si>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</si>
  <si>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</si>
  <si>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</si>
  <si>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</si>
  <si>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</si>
  <si>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</si>
  <si>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</si>
  <si>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</si>
  <si>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</si>
  <si>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</si>
  <si>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</si>
  <si>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</si>
  <si>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</si>
  <si>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</si>
  <si>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</si>
  <si>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</si>
  <si>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</si>
  <si>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</si>
  <si>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</si>
  <si>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</si>
  <si>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</si>
  <si>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</si>
  <si>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</si>
  <si>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</si>
  <si>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</si>
  <si>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</si>
  <si>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</si>
  <si>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</si>
  <si>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</si>
  <si>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</si>
  <si>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</si>
  <si>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</si>
  <si>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</si>
  <si>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</si>
  <si>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</si>
  <si>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</si>
  <si>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</si>
  <si>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</si>
  <si>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</si>
  <si>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</si>
  <si>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E1 papiery wartościowe 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</si>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</sst>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2" fillId="20" borderId="10" xfId="37" applyFont="1" applyFill="1" applyBorder="1" applyAlignment="1">
      <alignment horizontal="left"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0" fontId="30" fillId="21" borderId="17" xfId="0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29" fillId="19" borderId="10" xfId="37" applyNumberFormat="1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6" fillId="0" borderId="0" xfId="37" applyFont="1" applyAlignment="1">
      <alignment horizontal="lef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29" fillId="19" borderId="10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28" fillId="19" borderId="19" xfId="37" applyFont="1" applyFill="1" applyBorder="1" applyAlignment="1">
      <alignment horizontal="center" vertical="center" wrapText="1"/>
    </xf>
    <xf numFmtId="0" fontId="28" fillId="19" borderId="20" xfId="37" applyFont="1" applyFill="1" applyBorder="1" applyAlignment="1">
      <alignment horizontal="center" vertical="center" wrapText="1"/>
    </xf>
    <xf numFmtId="0" fontId="28" fillId="19" borderId="12" xfId="37" applyFont="1" applyFill="1" applyBorder="1" applyAlignment="1">
      <alignment horizontal="center" vertical="center" wrapText="1"/>
    </xf>
    <xf numFmtId="0" fontId="28" fillId="19" borderId="15" xfId="37" applyFont="1" applyFill="1" applyBorder="1" applyAlignment="1">
      <alignment horizontal="center" vertical="center" wrapText="1"/>
    </xf>
    <xf numFmtId="0" fontId="28" fillId="19" borderId="14" xfId="37" applyFont="1" applyFill="1" applyBorder="1" applyAlignment="1">
      <alignment horizontal="center" vertical="center" wrapText="1"/>
    </xf>
    <xf numFmtId="0" fontId="28" fillId="19" borderId="11" xfId="37" applyFont="1" applyFill="1" applyBorder="1" applyAlignment="1">
      <alignment horizontal="center" vertical="center" wrapText="1"/>
    </xf>
    <xf numFmtId="0" fontId="7" fillId="19" borderId="21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3"/>
  <sheetViews>
    <sheetView tabSelected="1" zoomScaleNormal="100" zoomScaleSheetLayoutView="75" workbookViewId="0">
      <selection activeCell="A6" sqref="A6:A10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2.5703125" style="2" customWidth="1"/>
    <col min="10" max="10" width="12.85546875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5" width="9.140625" style="2"/>
    <col min="16" max="16" width="10.28515625" style="2" customWidth="1"/>
    <col min="17" max="16384" width="9.140625" style="2"/>
  </cols>
  <sheetData>
    <row r="1" spans="1:17" ht="39.75" customHeight="1" x14ac:dyDescent="0.2">
      <c r="A1" s="31" t="str">
        <f>CONCATENATE("Informacja z wykonania budżetów powiatów za   ",$C$90," ",$B$91," roku    ",$B$93,"")</f>
        <v xml:space="preserve">Informacja z wykonania budżetów powiatów za   I Kwartał 2022 roku    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1" t="s">
        <v>60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5" spans="1:17" ht="13.5" customHeight="1" x14ac:dyDescent="0.2">
      <c r="B5" s="12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11"/>
      <c r="O5" s="11"/>
      <c r="P5" s="11"/>
      <c r="Q5" s="11"/>
    </row>
    <row r="6" spans="1:17" ht="13.5" customHeight="1" x14ac:dyDescent="0.2">
      <c r="A6" s="72" t="s">
        <v>0</v>
      </c>
      <c r="B6" s="32" t="s">
        <v>61</v>
      </c>
      <c r="C6" s="27" t="s">
        <v>65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  <c r="O6" s="27" t="s">
        <v>64</v>
      </c>
      <c r="P6" s="28"/>
      <c r="Q6" s="29"/>
    </row>
    <row r="7" spans="1:17" ht="13.5" customHeight="1" x14ac:dyDescent="0.2">
      <c r="A7" s="73"/>
      <c r="B7" s="33"/>
      <c r="C7" s="34" t="s">
        <v>62</v>
      </c>
      <c r="D7" s="34" t="s">
        <v>73</v>
      </c>
      <c r="E7" s="34" t="s">
        <v>66</v>
      </c>
      <c r="F7" s="34" t="s">
        <v>67</v>
      </c>
      <c r="G7" s="34" t="s">
        <v>27</v>
      </c>
      <c r="H7" s="34" t="s">
        <v>28</v>
      </c>
      <c r="I7" s="78" t="s">
        <v>63</v>
      </c>
      <c r="J7" s="34" t="s">
        <v>16</v>
      </c>
      <c r="K7" s="34" t="s">
        <v>17</v>
      </c>
      <c r="L7" s="34" t="s">
        <v>18</v>
      </c>
      <c r="M7" s="34" t="s">
        <v>19</v>
      </c>
      <c r="N7" s="33" t="s">
        <v>20</v>
      </c>
      <c r="O7" s="30" t="s">
        <v>21</v>
      </c>
      <c r="P7" s="30" t="s">
        <v>22</v>
      </c>
      <c r="Q7" s="30" t="s">
        <v>23</v>
      </c>
    </row>
    <row r="8" spans="1:17" ht="13.5" customHeight="1" x14ac:dyDescent="0.2">
      <c r="A8" s="73"/>
      <c r="B8" s="33"/>
      <c r="C8" s="30"/>
      <c r="D8" s="30"/>
      <c r="E8" s="30"/>
      <c r="F8" s="30"/>
      <c r="G8" s="30"/>
      <c r="H8" s="30"/>
      <c r="I8" s="78"/>
      <c r="J8" s="30"/>
      <c r="K8" s="30"/>
      <c r="L8" s="30"/>
      <c r="M8" s="30"/>
      <c r="N8" s="33"/>
      <c r="O8" s="30"/>
      <c r="P8" s="30"/>
      <c r="Q8" s="30"/>
    </row>
    <row r="9" spans="1:17" ht="11.25" customHeight="1" x14ac:dyDescent="0.2">
      <c r="A9" s="73"/>
      <c r="B9" s="33"/>
      <c r="C9" s="30"/>
      <c r="D9" s="30"/>
      <c r="E9" s="30"/>
      <c r="F9" s="30"/>
      <c r="G9" s="30"/>
      <c r="H9" s="30"/>
      <c r="I9" s="78"/>
      <c r="J9" s="30"/>
      <c r="K9" s="30"/>
      <c r="L9" s="30"/>
      <c r="M9" s="30"/>
      <c r="N9" s="33"/>
      <c r="O9" s="30"/>
      <c r="P9" s="30"/>
      <c r="Q9" s="30"/>
    </row>
    <row r="10" spans="1:17" ht="33.75" customHeight="1" x14ac:dyDescent="0.2">
      <c r="A10" s="74"/>
      <c r="B10" s="34"/>
      <c r="C10" s="30"/>
      <c r="D10" s="30"/>
      <c r="E10" s="30"/>
      <c r="F10" s="30"/>
      <c r="G10" s="30"/>
      <c r="H10" s="30"/>
      <c r="I10" s="79"/>
      <c r="J10" s="30"/>
      <c r="K10" s="30"/>
      <c r="L10" s="30"/>
      <c r="M10" s="30"/>
      <c r="N10" s="34"/>
      <c r="O10" s="30"/>
      <c r="P10" s="30"/>
      <c r="Q10" s="30"/>
    </row>
    <row r="11" spans="1:17" ht="15.75" customHeight="1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</row>
    <row r="12" spans="1:17" ht="12" customHeight="1" x14ac:dyDescent="0.2">
      <c r="A12" s="13"/>
      <c r="B12" s="80" t="s">
        <v>76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2"/>
    </row>
    <row r="13" spans="1:17" ht="39.75" customHeight="1" x14ac:dyDescent="0.2">
      <c r="A13" s="20" t="s">
        <v>45</v>
      </c>
      <c r="B13" s="21">
        <f>6026580687.25</f>
        <v>6026580687.25</v>
      </c>
      <c r="C13" s="21">
        <f>6026580687.25</f>
        <v>6026580687.25</v>
      </c>
      <c r="D13" s="21">
        <f>258992190.52</f>
        <v>258992190.52000001</v>
      </c>
      <c r="E13" s="21">
        <f>211001918.46</f>
        <v>211001918.46000001</v>
      </c>
      <c r="F13" s="21">
        <f>15672315.86</f>
        <v>15672315.859999999</v>
      </c>
      <c r="G13" s="21">
        <f>32317956.2</f>
        <v>32317956.199999999</v>
      </c>
      <c r="H13" s="21">
        <f>0</f>
        <v>0</v>
      </c>
      <c r="I13" s="21">
        <f>0</f>
        <v>0</v>
      </c>
      <c r="J13" s="21">
        <f>5488338482.38</f>
        <v>5488338482.3800001</v>
      </c>
      <c r="K13" s="21">
        <f>270347429.2</f>
        <v>270347429.19999999</v>
      </c>
      <c r="L13" s="21">
        <f>7652475.41</f>
        <v>7652475.4100000001</v>
      </c>
      <c r="M13" s="21">
        <f>247683.19</f>
        <v>247683.19</v>
      </c>
      <c r="N13" s="21">
        <f>1002426.55</f>
        <v>1002426.55</v>
      </c>
      <c r="O13" s="21">
        <f>0</f>
        <v>0</v>
      </c>
      <c r="P13" s="21">
        <f>0</f>
        <v>0</v>
      </c>
      <c r="Q13" s="21">
        <f>0</f>
        <v>0</v>
      </c>
    </row>
    <row r="14" spans="1:17" ht="24.75" customHeight="1" x14ac:dyDescent="0.2">
      <c r="A14" s="19" t="s">
        <v>77</v>
      </c>
      <c r="B14" s="21">
        <f>55250000</f>
        <v>55250000</v>
      </c>
      <c r="C14" s="21">
        <f>55250000</f>
        <v>55250000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55250000</f>
        <v>55250000</v>
      </c>
      <c r="K14" s="21">
        <f>0</f>
        <v>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1" customHeight="1" x14ac:dyDescent="0.2">
      <c r="A15" s="17" t="s">
        <v>46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0.25" customHeight="1" x14ac:dyDescent="0.2">
      <c r="A16" s="17" t="s">
        <v>47</v>
      </c>
      <c r="B16" s="22">
        <f>55250000</f>
        <v>55250000</v>
      </c>
      <c r="C16" s="22">
        <f>55250000</f>
        <v>55250000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55250000</f>
        <v>55250000</v>
      </c>
      <c r="K16" s="22">
        <f>0</f>
        <v>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24" customHeight="1" x14ac:dyDescent="0.2">
      <c r="A17" s="20" t="s">
        <v>78</v>
      </c>
      <c r="B17" s="21">
        <f>5968639816.29</f>
        <v>5968639816.29</v>
      </c>
      <c r="C17" s="21">
        <f>5968639816.29</f>
        <v>5968639816.29</v>
      </c>
      <c r="D17" s="21">
        <f>258744617.89</f>
        <v>258744617.88999999</v>
      </c>
      <c r="E17" s="21">
        <f>210901919.33</f>
        <v>210901919.33000001</v>
      </c>
      <c r="F17" s="21">
        <f>15672315.86</f>
        <v>15672315.859999999</v>
      </c>
      <c r="G17" s="21">
        <f>32170382.7</f>
        <v>32170382.699999999</v>
      </c>
      <c r="H17" s="21">
        <f>0</f>
        <v>0</v>
      </c>
      <c r="I17" s="21">
        <f>0</f>
        <v>0</v>
      </c>
      <c r="J17" s="21">
        <f>5433068663.23</f>
        <v>5433068663.2299995</v>
      </c>
      <c r="K17" s="21">
        <f>270344670.6</f>
        <v>270344670.60000002</v>
      </c>
      <c r="L17" s="21">
        <f>5464090.45</f>
        <v>5464090.4500000002</v>
      </c>
      <c r="M17" s="21">
        <f>17774.12</f>
        <v>17774.12</v>
      </c>
      <c r="N17" s="21">
        <f>1000000</f>
        <v>1000000</v>
      </c>
      <c r="O17" s="21">
        <f>0</f>
        <v>0</v>
      </c>
      <c r="P17" s="21">
        <f>0</f>
        <v>0</v>
      </c>
      <c r="Q17" s="21">
        <f>0</f>
        <v>0</v>
      </c>
    </row>
    <row r="18" spans="1:17" ht="23.25" customHeight="1" x14ac:dyDescent="0.2">
      <c r="A18" s="17" t="s">
        <v>48</v>
      </c>
      <c r="B18" s="22">
        <f>11226868.91</f>
        <v>11226868.91</v>
      </c>
      <c r="C18" s="22">
        <f>11226868.91</f>
        <v>11226868.91</v>
      </c>
      <c r="D18" s="22">
        <f>165888</f>
        <v>165888</v>
      </c>
      <c r="E18" s="22">
        <f>0</f>
        <v>0</v>
      </c>
      <c r="F18" s="22">
        <f>165888</f>
        <v>165888</v>
      </c>
      <c r="G18" s="22">
        <f>0</f>
        <v>0</v>
      </c>
      <c r="H18" s="22">
        <f>0</f>
        <v>0</v>
      </c>
      <c r="I18" s="22">
        <f>0</f>
        <v>0</v>
      </c>
      <c r="J18" s="22">
        <f>10826856.4</f>
        <v>10826856.4</v>
      </c>
      <c r="K18" s="22">
        <f>233824.51</f>
        <v>233824.51</v>
      </c>
      <c r="L18" s="22">
        <f>300</f>
        <v>300</v>
      </c>
      <c r="M18" s="22">
        <f>0</f>
        <v>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21.75" customHeight="1" x14ac:dyDescent="0.2">
      <c r="A19" s="17" t="s">
        <v>49</v>
      </c>
      <c r="B19" s="22">
        <f>5957412947.38</f>
        <v>5957412947.3800001</v>
      </c>
      <c r="C19" s="22">
        <f>5957412947.38</f>
        <v>5957412947.3800001</v>
      </c>
      <c r="D19" s="22">
        <f>258578729.89</f>
        <v>258578729.88999999</v>
      </c>
      <c r="E19" s="22">
        <f>210901919.33</f>
        <v>210901919.33000001</v>
      </c>
      <c r="F19" s="22">
        <f>15506427.86</f>
        <v>15506427.859999999</v>
      </c>
      <c r="G19" s="22">
        <f>32170382.7</f>
        <v>32170382.699999999</v>
      </c>
      <c r="H19" s="22">
        <f>0</f>
        <v>0</v>
      </c>
      <c r="I19" s="22">
        <f>0</f>
        <v>0</v>
      </c>
      <c r="J19" s="22">
        <f>5422241806.83</f>
        <v>5422241806.8299999</v>
      </c>
      <c r="K19" s="22">
        <f>270110846.09</f>
        <v>270110846.08999997</v>
      </c>
      <c r="L19" s="22">
        <f>5463790.45</f>
        <v>5463790.4500000002</v>
      </c>
      <c r="M19" s="22">
        <f>17774.12</f>
        <v>17774.12</v>
      </c>
      <c r="N19" s="22">
        <f>1000000</f>
        <v>1000000</v>
      </c>
      <c r="O19" s="22">
        <f>0</f>
        <v>0</v>
      </c>
      <c r="P19" s="22">
        <f>0</f>
        <v>0</v>
      </c>
      <c r="Q19" s="22">
        <f>0</f>
        <v>0</v>
      </c>
    </row>
    <row r="20" spans="1:17" ht="21.75" customHeight="1" x14ac:dyDescent="0.2">
      <c r="A20" s="17" t="s">
        <v>50</v>
      </c>
      <c r="B20" s="22">
        <f>0</f>
        <v>0</v>
      </c>
      <c r="C20" s="22">
        <f>0</f>
        <v>0</v>
      </c>
      <c r="D20" s="22">
        <f>0</f>
        <v>0</v>
      </c>
      <c r="E20" s="22">
        <f>0</f>
        <v>0</v>
      </c>
      <c r="F20" s="22">
        <f>0</f>
        <v>0</v>
      </c>
      <c r="G20" s="22">
        <f>0</f>
        <v>0</v>
      </c>
      <c r="H20" s="22">
        <f>0</f>
        <v>0</v>
      </c>
      <c r="I20" s="22">
        <f>0</f>
        <v>0</v>
      </c>
      <c r="J20" s="22">
        <f>0</f>
        <v>0</v>
      </c>
      <c r="K20" s="22">
        <f>0</f>
        <v>0</v>
      </c>
      <c r="L20" s="22">
        <f>0</f>
        <v>0</v>
      </c>
      <c r="M20" s="22">
        <f>0</f>
        <v>0</v>
      </c>
      <c r="N20" s="22">
        <f>0</f>
        <v>0</v>
      </c>
      <c r="O20" s="22">
        <f>0</f>
        <v>0</v>
      </c>
      <c r="P20" s="22">
        <f>0</f>
        <v>0</v>
      </c>
      <c r="Q20" s="22">
        <f>0</f>
        <v>0</v>
      </c>
    </row>
    <row r="21" spans="1:17" ht="24.75" customHeight="1" x14ac:dyDescent="0.2">
      <c r="A21" s="20" t="s">
        <v>79</v>
      </c>
      <c r="B21" s="21">
        <f>2690870.96</f>
        <v>2690870.96</v>
      </c>
      <c r="C21" s="21">
        <f>2690870.96</f>
        <v>2690870.96</v>
      </c>
      <c r="D21" s="21">
        <f>247572.63</f>
        <v>247572.63</v>
      </c>
      <c r="E21" s="21">
        <f>99999.13</f>
        <v>99999.13</v>
      </c>
      <c r="F21" s="21">
        <f>0</f>
        <v>0</v>
      </c>
      <c r="G21" s="21">
        <f>147573.5</f>
        <v>147573.5</v>
      </c>
      <c r="H21" s="21">
        <f>0</f>
        <v>0</v>
      </c>
      <c r="I21" s="21">
        <f>0</f>
        <v>0</v>
      </c>
      <c r="J21" s="21">
        <f>19819.15</f>
        <v>19819.150000000001</v>
      </c>
      <c r="K21" s="21">
        <f>2758.6</f>
        <v>2758.6</v>
      </c>
      <c r="L21" s="21">
        <f>2188384.96</f>
        <v>2188384.96</v>
      </c>
      <c r="M21" s="21">
        <f>229909.07</f>
        <v>229909.07</v>
      </c>
      <c r="N21" s="21">
        <f>2426.55</f>
        <v>2426.5500000000002</v>
      </c>
      <c r="O21" s="21">
        <f>0</f>
        <v>0</v>
      </c>
      <c r="P21" s="21">
        <f>0</f>
        <v>0</v>
      </c>
      <c r="Q21" s="21">
        <f>0</f>
        <v>0</v>
      </c>
    </row>
    <row r="22" spans="1:17" ht="22.5" x14ac:dyDescent="0.2">
      <c r="A22" s="17" t="s">
        <v>51</v>
      </c>
      <c r="B22" s="22">
        <f>2255687.74</f>
        <v>2255687.7400000002</v>
      </c>
      <c r="C22" s="22">
        <f>2255687.74</f>
        <v>2255687.7400000002</v>
      </c>
      <c r="D22" s="22">
        <f>0</f>
        <v>0</v>
      </c>
      <c r="E22" s="22">
        <f>0</f>
        <v>0</v>
      </c>
      <c r="F22" s="22">
        <f>0</f>
        <v>0</v>
      </c>
      <c r="G22" s="22">
        <f>0</f>
        <v>0</v>
      </c>
      <c r="H22" s="22">
        <f>0</f>
        <v>0</v>
      </c>
      <c r="I22" s="22">
        <f>0</f>
        <v>0</v>
      </c>
      <c r="J22" s="22">
        <f>0</f>
        <v>0</v>
      </c>
      <c r="K22" s="22">
        <f>0</f>
        <v>0</v>
      </c>
      <c r="L22" s="22">
        <f>2106298.12</f>
        <v>2106298.12</v>
      </c>
      <c r="M22" s="22">
        <f>146963.07</f>
        <v>146963.07</v>
      </c>
      <c r="N22" s="22">
        <f>2426.55</f>
        <v>2426.5500000000002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">
      <c r="A23" s="17" t="s">
        <v>52</v>
      </c>
      <c r="B23" s="22">
        <f>435183.22</f>
        <v>435183.22</v>
      </c>
      <c r="C23" s="22">
        <f>435183.22</f>
        <v>435183.22</v>
      </c>
      <c r="D23" s="22">
        <f>247572.63</f>
        <v>247572.63</v>
      </c>
      <c r="E23" s="22">
        <f>99999.13</f>
        <v>99999.13</v>
      </c>
      <c r="F23" s="22">
        <f>0</f>
        <v>0</v>
      </c>
      <c r="G23" s="22">
        <f>147573.5</f>
        <v>147573.5</v>
      </c>
      <c r="H23" s="22">
        <f>0</f>
        <v>0</v>
      </c>
      <c r="I23" s="22">
        <f>0</f>
        <v>0</v>
      </c>
      <c r="J23" s="22">
        <f>19819.15</f>
        <v>19819.150000000001</v>
      </c>
      <c r="K23" s="22">
        <f>2758.6</f>
        <v>2758.6</v>
      </c>
      <c r="L23" s="22">
        <f>82086.84</f>
        <v>82086.84</v>
      </c>
      <c r="M23" s="22">
        <f>82946</f>
        <v>82946</v>
      </c>
      <c r="N23" s="22">
        <f>0</f>
        <v>0</v>
      </c>
      <c r="O23" s="22">
        <f>0</f>
        <v>0</v>
      </c>
      <c r="P23" s="22">
        <f>0</f>
        <v>0</v>
      </c>
      <c r="Q23" s="22">
        <f>0</f>
        <v>0</v>
      </c>
    </row>
    <row r="24" spans="1:17" ht="19.5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9.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9.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45.75" customHeight="1" x14ac:dyDescent="0.2">
      <c r="A27" s="31" t="str">
        <f>CONCATENATE("Informacja z wykonania budżetów powiatów za   ",$C$90," ",$B$91," roku    ",$B$93,"")</f>
        <v xml:space="preserve">Informacja z wykonania budżetów powiatów za   I Kwartał 2022 roku    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9" spans="1:17" ht="13.5" customHeight="1" x14ac:dyDescent="0.2">
      <c r="A29" s="41" t="s">
        <v>11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1" spans="1:17" ht="13.5" customHeight="1" x14ac:dyDescent="0.2">
      <c r="A31" s="72" t="s">
        <v>0</v>
      </c>
      <c r="B31" s="32" t="s">
        <v>12</v>
      </c>
      <c r="C31" s="75" t="s">
        <v>14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7"/>
      <c r="O31" s="75" t="s">
        <v>24</v>
      </c>
      <c r="P31" s="76"/>
      <c r="Q31" s="77"/>
    </row>
    <row r="32" spans="1:17" ht="13.5" customHeight="1" x14ac:dyDescent="0.2">
      <c r="A32" s="73"/>
      <c r="B32" s="33"/>
      <c r="C32" s="33" t="s">
        <v>13</v>
      </c>
      <c r="D32" s="30" t="s">
        <v>15</v>
      </c>
      <c r="E32" s="30" t="s">
        <v>25</v>
      </c>
      <c r="F32" s="30" t="s">
        <v>26</v>
      </c>
      <c r="G32" s="30" t="s">
        <v>70</v>
      </c>
      <c r="H32" s="30" t="s">
        <v>28</v>
      </c>
      <c r="I32" s="30" t="s">
        <v>1</v>
      </c>
      <c r="J32" s="30" t="s">
        <v>16</v>
      </c>
      <c r="K32" s="30" t="s">
        <v>17</v>
      </c>
      <c r="L32" s="30" t="s">
        <v>18</v>
      </c>
      <c r="M32" s="30" t="s">
        <v>19</v>
      </c>
      <c r="N32" s="35" t="s">
        <v>20</v>
      </c>
      <c r="O32" s="30" t="s">
        <v>21</v>
      </c>
      <c r="P32" s="30" t="s">
        <v>22</v>
      </c>
      <c r="Q32" s="32" t="s">
        <v>23</v>
      </c>
    </row>
    <row r="33" spans="1:17" ht="13.5" customHeight="1" x14ac:dyDescent="0.2">
      <c r="A33" s="73"/>
      <c r="B33" s="33"/>
      <c r="C33" s="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5"/>
      <c r="O33" s="30"/>
      <c r="P33" s="30"/>
      <c r="Q33" s="33"/>
    </row>
    <row r="34" spans="1:17" ht="11.25" customHeight="1" x14ac:dyDescent="0.2">
      <c r="A34" s="73"/>
      <c r="B34" s="33"/>
      <c r="C34" s="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5"/>
      <c r="O34" s="30"/>
      <c r="P34" s="30"/>
      <c r="Q34" s="33"/>
    </row>
    <row r="35" spans="1:17" ht="41.25" customHeight="1" x14ac:dyDescent="0.2">
      <c r="A35" s="74"/>
      <c r="B35" s="34"/>
      <c r="C35" s="34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5"/>
      <c r="O35" s="30"/>
      <c r="P35" s="30"/>
      <c r="Q35" s="34"/>
    </row>
    <row r="36" spans="1:17" ht="15.75" customHeight="1" x14ac:dyDescent="0.2">
      <c r="A36" s="13">
        <v>1</v>
      </c>
      <c r="B36" s="13">
        <v>2</v>
      </c>
      <c r="C36" s="13">
        <v>3</v>
      </c>
      <c r="D36" s="13">
        <v>4</v>
      </c>
      <c r="E36" s="13">
        <v>5</v>
      </c>
      <c r="F36" s="13">
        <v>6</v>
      </c>
      <c r="G36" s="13">
        <v>7</v>
      </c>
      <c r="H36" s="13">
        <v>8</v>
      </c>
      <c r="I36" s="13">
        <v>9</v>
      </c>
      <c r="J36" s="13">
        <v>10</v>
      </c>
      <c r="K36" s="13">
        <v>11</v>
      </c>
      <c r="L36" s="13">
        <v>12</v>
      </c>
      <c r="M36" s="13">
        <v>13</v>
      </c>
      <c r="N36" s="13">
        <v>14</v>
      </c>
      <c r="O36" s="13">
        <v>15</v>
      </c>
      <c r="P36" s="13">
        <v>16</v>
      </c>
      <c r="Q36" s="13">
        <v>17</v>
      </c>
    </row>
    <row r="37" spans="1:17" ht="12" customHeight="1" x14ac:dyDescent="0.2">
      <c r="A37" s="13"/>
      <c r="B37" s="80" t="s">
        <v>76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1:17" ht="30" customHeight="1" x14ac:dyDescent="0.2">
      <c r="A38" s="25" t="s">
        <v>40</v>
      </c>
      <c r="B38" s="23">
        <f>1055000.35</f>
        <v>1055000.3500000001</v>
      </c>
      <c r="C38" s="23">
        <f>1055000.35</f>
        <v>1055000.3500000001</v>
      </c>
      <c r="D38" s="23">
        <f>1050000</f>
        <v>1050000</v>
      </c>
      <c r="E38" s="23">
        <f>50000</f>
        <v>50000</v>
      </c>
      <c r="F38" s="23">
        <f>0</f>
        <v>0</v>
      </c>
      <c r="G38" s="23">
        <f>1000000</f>
        <v>1000000</v>
      </c>
      <c r="H38" s="23">
        <f>0</f>
        <v>0</v>
      </c>
      <c r="I38" s="23">
        <f>0</f>
        <v>0</v>
      </c>
      <c r="J38" s="23">
        <f>0</f>
        <v>0</v>
      </c>
      <c r="K38" s="23">
        <f>0</f>
        <v>0</v>
      </c>
      <c r="L38" s="23">
        <f>0</f>
        <v>0</v>
      </c>
      <c r="M38" s="23">
        <f>5000.35</f>
        <v>5000.3500000000004</v>
      </c>
      <c r="N38" s="23">
        <f>0</f>
        <v>0</v>
      </c>
      <c r="O38" s="23">
        <f>0</f>
        <v>0</v>
      </c>
      <c r="P38" s="23">
        <f>0</f>
        <v>0</v>
      </c>
      <c r="Q38" s="23">
        <f>0</f>
        <v>0</v>
      </c>
    </row>
    <row r="39" spans="1:17" ht="25.5" customHeight="1" x14ac:dyDescent="0.2">
      <c r="A39" s="18" t="s">
        <v>29</v>
      </c>
      <c r="B39" s="24">
        <f>1005000.35</f>
        <v>1005000.35</v>
      </c>
      <c r="C39" s="24">
        <f>1005000.35</f>
        <v>1005000.35</v>
      </c>
      <c r="D39" s="24">
        <f>1000000</f>
        <v>1000000</v>
      </c>
      <c r="E39" s="24">
        <f>0</f>
        <v>0</v>
      </c>
      <c r="F39" s="24">
        <f>0</f>
        <v>0</v>
      </c>
      <c r="G39" s="24">
        <f>1000000</f>
        <v>1000000</v>
      </c>
      <c r="H39" s="24">
        <f>0</f>
        <v>0</v>
      </c>
      <c r="I39" s="24">
        <f>0</f>
        <v>0</v>
      </c>
      <c r="J39" s="24">
        <f>0</f>
        <v>0</v>
      </c>
      <c r="K39" s="24">
        <f>0</f>
        <v>0</v>
      </c>
      <c r="L39" s="24">
        <f>0</f>
        <v>0</v>
      </c>
      <c r="M39" s="24">
        <f>5000.35</f>
        <v>5000.3500000000004</v>
      </c>
      <c r="N39" s="24">
        <f>0</f>
        <v>0</v>
      </c>
      <c r="O39" s="24">
        <f>0</f>
        <v>0</v>
      </c>
      <c r="P39" s="24">
        <f>0</f>
        <v>0</v>
      </c>
      <c r="Q39" s="24">
        <f>0</f>
        <v>0</v>
      </c>
    </row>
    <row r="40" spans="1:17" ht="25.5" customHeight="1" x14ac:dyDescent="0.2">
      <c r="A40" s="18" t="s">
        <v>30</v>
      </c>
      <c r="B40" s="24">
        <f>50000</f>
        <v>50000</v>
      </c>
      <c r="C40" s="24">
        <f>50000</f>
        <v>50000</v>
      </c>
      <c r="D40" s="24">
        <f>50000</f>
        <v>50000</v>
      </c>
      <c r="E40" s="24">
        <f>50000</f>
        <v>50000</v>
      </c>
      <c r="F40" s="24">
        <f>0</f>
        <v>0</v>
      </c>
      <c r="G40" s="24">
        <f>0</f>
        <v>0</v>
      </c>
      <c r="H40" s="24">
        <f>0</f>
        <v>0</v>
      </c>
      <c r="I40" s="24">
        <f>0</f>
        <v>0</v>
      </c>
      <c r="J40" s="24">
        <f>0</f>
        <v>0</v>
      </c>
      <c r="K40" s="24">
        <f>0</f>
        <v>0</v>
      </c>
      <c r="L40" s="24">
        <f>0</f>
        <v>0</v>
      </c>
      <c r="M40" s="24">
        <f>0</f>
        <v>0</v>
      </c>
      <c r="N40" s="24">
        <f>0</f>
        <v>0</v>
      </c>
      <c r="O40" s="24">
        <f>0</f>
        <v>0</v>
      </c>
      <c r="P40" s="24">
        <f>0</f>
        <v>0</v>
      </c>
      <c r="Q40" s="24">
        <f>0</f>
        <v>0</v>
      </c>
    </row>
    <row r="41" spans="1:17" ht="30" customHeight="1" x14ac:dyDescent="0.2">
      <c r="A41" s="25" t="s">
        <v>41</v>
      </c>
      <c r="B41" s="23">
        <f>163160348.23</f>
        <v>163160348.22999999</v>
      </c>
      <c r="C41" s="23">
        <f>163160348.23</f>
        <v>163160348.22999999</v>
      </c>
      <c r="D41" s="23">
        <f>103093135.32</f>
        <v>103093135.31999999</v>
      </c>
      <c r="E41" s="23">
        <f>33327.55</f>
        <v>33327.550000000003</v>
      </c>
      <c r="F41" s="23">
        <f>3003633.4</f>
        <v>3003633.4</v>
      </c>
      <c r="G41" s="23">
        <f>100056174.37</f>
        <v>100056174.37</v>
      </c>
      <c r="H41" s="23">
        <f>0</f>
        <v>0</v>
      </c>
      <c r="I41" s="23">
        <f>0</f>
        <v>0</v>
      </c>
      <c r="J41" s="23">
        <f>2930139.74</f>
        <v>2930139.74</v>
      </c>
      <c r="K41" s="23">
        <f>40216.91</f>
        <v>40216.910000000003</v>
      </c>
      <c r="L41" s="23">
        <f>40143663.95</f>
        <v>40143663.950000003</v>
      </c>
      <c r="M41" s="23">
        <f>15024918.81</f>
        <v>15024918.810000001</v>
      </c>
      <c r="N41" s="23">
        <f>1928273.5</f>
        <v>1928273.5</v>
      </c>
      <c r="O41" s="23">
        <f>0</f>
        <v>0</v>
      </c>
      <c r="P41" s="23">
        <f>0</f>
        <v>0</v>
      </c>
      <c r="Q41" s="23">
        <f>0</f>
        <v>0</v>
      </c>
    </row>
    <row r="42" spans="1:17" ht="25.5" customHeight="1" x14ac:dyDescent="0.2">
      <c r="A42" s="18" t="s">
        <v>31</v>
      </c>
      <c r="B42" s="24">
        <f>33274948.8</f>
        <v>33274948.800000001</v>
      </c>
      <c r="C42" s="24">
        <f>33274948.8</f>
        <v>33274948.800000001</v>
      </c>
      <c r="D42" s="24">
        <f>22791918.03</f>
        <v>22791918.030000001</v>
      </c>
      <c r="E42" s="24">
        <f>0</f>
        <v>0</v>
      </c>
      <c r="F42" s="24">
        <f>3000000</f>
        <v>3000000</v>
      </c>
      <c r="G42" s="24">
        <f>19791918.03</f>
        <v>19791918.030000001</v>
      </c>
      <c r="H42" s="24">
        <f>0</f>
        <v>0</v>
      </c>
      <c r="I42" s="24">
        <f>0</f>
        <v>0</v>
      </c>
      <c r="J42" s="24">
        <f>0</f>
        <v>0</v>
      </c>
      <c r="K42" s="24">
        <f>0</f>
        <v>0</v>
      </c>
      <c r="L42" s="24">
        <f>7374124.32</f>
        <v>7374124.3200000003</v>
      </c>
      <c r="M42" s="24">
        <f>2407269.47</f>
        <v>2407269.4700000002</v>
      </c>
      <c r="N42" s="24">
        <f>701636.98</f>
        <v>701636.98</v>
      </c>
      <c r="O42" s="24">
        <f>0</f>
        <v>0</v>
      </c>
      <c r="P42" s="24">
        <f>0</f>
        <v>0</v>
      </c>
      <c r="Q42" s="24">
        <f>0</f>
        <v>0</v>
      </c>
    </row>
    <row r="43" spans="1:17" ht="25.5" customHeight="1" x14ac:dyDescent="0.2">
      <c r="A43" s="18" t="s">
        <v>32</v>
      </c>
      <c r="B43" s="24">
        <f>129885399.43</f>
        <v>129885399.43000001</v>
      </c>
      <c r="C43" s="24">
        <f>129885399.43</f>
        <v>129885399.43000001</v>
      </c>
      <c r="D43" s="24">
        <f>80301217.29</f>
        <v>80301217.290000007</v>
      </c>
      <c r="E43" s="24">
        <f>33327.55</f>
        <v>33327.550000000003</v>
      </c>
      <c r="F43" s="24">
        <f>3633.4</f>
        <v>3633.4</v>
      </c>
      <c r="G43" s="24">
        <f>80264256.34</f>
        <v>80264256.340000004</v>
      </c>
      <c r="H43" s="24">
        <f>0</f>
        <v>0</v>
      </c>
      <c r="I43" s="24">
        <f>0</f>
        <v>0</v>
      </c>
      <c r="J43" s="24">
        <f>2930139.74</f>
        <v>2930139.74</v>
      </c>
      <c r="K43" s="24">
        <f>40216.91</f>
        <v>40216.910000000003</v>
      </c>
      <c r="L43" s="24">
        <f>32769539.63</f>
        <v>32769539.629999999</v>
      </c>
      <c r="M43" s="24">
        <f>12617649.34</f>
        <v>12617649.34</v>
      </c>
      <c r="N43" s="24">
        <f>1226636.52</f>
        <v>1226636.52</v>
      </c>
      <c r="O43" s="24">
        <f>0</f>
        <v>0</v>
      </c>
      <c r="P43" s="24">
        <f>0</f>
        <v>0</v>
      </c>
      <c r="Q43" s="24">
        <f>0</f>
        <v>0</v>
      </c>
    </row>
    <row r="44" spans="1:17" ht="30" customHeight="1" x14ac:dyDescent="0.2">
      <c r="A44" s="25" t="s">
        <v>42</v>
      </c>
      <c r="B44" s="23">
        <f>9626402162.5</f>
        <v>9626402162.5</v>
      </c>
      <c r="C44" s="23">
        <f>9626402162.5</f>
        <v>9626402162.5</v>
      </c>
      <c r="D44" s="23">
        <f>2581680.5</f>
        <v>2581680.5</v>
      </c>
      <c r="E44" s="23">
        <f>19183.99</f>
        <v>19183.990000000002</v>
      </c>
      <c r="F44" s="23">
        <f>263</f>
        <v>263</v>
      </c>
      <c r="G44" s="23">
        <f>2562233.51</f>
        <v>2562233.5099999998</v>
      </c>
      <c r="H44" s="23">
        <f>0</f>
        <v>0</v>
      </c>
      <c r="I44" s="23">
        <f>11023387.72</f>
        <v>11023387.720000001</v>
      </c>
      <c r="J44" s="23">
        <f>9612560382.16</f>
        <v>9612560382.1599998</v>
      </c>
      <c r="K44" s="23">
        <f>80090.32</f>
        <v>80090.320000000007</v>
      </c>
      <c r="L44" s="23">
        <f>57269.18</f>
        <v>57269.18</v>
      </c>
      <c r="M44" s="23">
        <f>5069.5</f>
        <v>5069.5</v>
      </c>
      <c r="N44" s="23">
        <f>94283.12</f>
        <v>94283.12</v>
      </c>
      <c r="O44" s="23">
        <f>0</f>
        <v>0</v>
      </c>
      <c r="P44" s="23">
        <f>0</f>
        <v>0</v>
      </c>
      <c r="Q44" s="23">
        <f>0</f>
        <v>0</v>
      </c>
    </row>
    <row r="45" spans="1:17" ht="25.5" customHeight="1" x14ac:dyDescent="0.2">
      <c r="A45" s="18" t="s">
        <v>33</v>
      </c>
      <c r="B45" s="24">
        <f>2553763.64</f>
        <v>2553763.64</v>
      </c>
      <c r="C45" s="24">
        <f>2553763.64</f>
        <v>2553763.64</v>
      </c>
      <c r="D45" s="24">
        <f>2553763.64</f>
        <v>2553763.64</v>
      </c>
      <c r="E45" s="24">
        <f>0</f>
        <v>0</v>
      </c>
      <c r="F45" s="24">
        <f>0</f>
        <v>0</v>
      </c>
      <c r="G45" s="24">
        <f>2553763.64</f>
        <v>2553763.64</v>
      </c>
      <c r="H45" s="24">
        <f>0</f>
        <v>0</v>
      </c>
      <c r="I45" s="24">
        <f>0</f>
        <v>0</v>
      </c>
      <c r="J45" s="24">
        <f>0</f>
        <v>0</v>
      </c>
      <c r="K45" s="24">
        <f>0</f>
        <v>0</v>
      </c>
      <c r="L45" s="24">
        <f>0</f>
        <v>0</v>
      </c>
      <c r="M45" s="24">
        <f>0</f>
        <v>0</v>
      </c>
      <c r="N45" s="24">
        <f>0</f>
        <v>0</v>
      </c>
      <c r="O45" s="24">
        <f>0</f>
        <v>0</v>
      </c>
      <c r="P45" s="24">
        <f>0</f>
        <v>0</v>
      </c>
      <c r="Q45" s="24">
        <f>0</f>
        <v>0</v>
      </c>
    </row>
    <row r="46" spans="1:17" ht="25.5" customHeight="1" x14ac:dyDescent="0.2">
      <c r="A46" s="18" t="s">
        <v>34</v>
      </c>
      <c r="B46" s="24">
        <f>8798919157.87</f>
        <v>8798919157.8700008</v>
      </c>
      <c r="C46" s="24">
        <f>8798919157.87</f>
        <v>8798919157.8700008</v>
      </c>
      <c r="D46" s="24">
        <f>7644.13</f>
        <v>7644.13</v>
      </c>
      <c r="E46" s="24">
        <f>648.65</f>
        <v>648.65</v>
      </c>
      <c r="F46" s="24">
        <f>263</f>
        <v>263</v>
      </c>
      <c r="G46" s="24">
        <f>6732.48</f>
        <v>6732.48</v>
      </c>
      <c r="H46" s="24">
        <f>0</f>
        <v>0</v>
      </c>
      <c r="I46" s="24">
        <f>11023387.72</f>
        <v>11023387.720000001</v>
      </c>
      <c r="J46" s="24">
        <f>8787683880.09</f>
        <v>8787683880.0900002</v>
      </c>
      <c r="K46" s="24">
        <f>73361.52</f>
        <v>73361.52</v>
      </c>
      <c r="L46" s="24">
        <f>33531.79</f>
        <v>33531.79</v>
      </c>
      <c r="M46" s="24">
        <f>3069.5</f>
        <v>3069.5</v>
      </c>
      <c r="N46" s="24">
        <f>94283.12</f>
        <v>94283.12</v>
      </c>
      <c r="O46" s="24">
        <f>0</f>
        <v>0</v>
      </c>
      <c r="P46" s="24">
        <f>0</f>
        <v>0</v>
      </c>
      <c r="Q46" s="24">
        <f>0</f>
        <v>0</v>
      </c>
    </row>
    <row r="47" spans="1:17" ht="25.5" customHeight="1" x14ac:dyDescent="0.2">
      <c r="A47" s="18" t="s">
        <v>35</v>
      </c>
      <c r="B47" s="24">
        <f>824929240.99</f>
        <v>824929240.99000001</v>
      </c>
      <c r="C47" s="24">
        <f>824929240.99</f>
        <v>824929240.99000001</v>
      </c>
      <c r="D47" s="24">
        <f>20272.73</f>
        <v>20272.73</v>
      </c>
      <c r="E47" s="24">
        <f>18535.34</f>
        <v>18535.34</v>
      </c>
      <c r="F47" s="24">
        <f>0</f>
        <v>0</v>
      </c>
      <c r="G47" s="24">
        <f>1737.39</f>
        <v>1737.39</v>
      </c>
      <c r="H47" s="24">
        <f>0</f>
        <v>0</v>
      </c>
      <c r="I47" s="24">
        <f>0</f>
        <v>0</v>
      </c>
      <c r="J47" s="24">
        <f>824876502.07</f>
        <v>824876502.07000005</v>
      </c>
      <c r="K47" s="24">
        <f>6728.8</f>
        <v>6728.8</v>
      </c>
      <c r="L47" s="24">
        <f>23737.39</f>
        <v>23737.39</v>
      </c>
      <c r="M47" s="24">
        <f>2000</f>
        <v>2000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30" customHeight="1" x14ac:dyDescent="0.2">
      <c r="A48" s="25" t="s">
        <v>43</v>
      </c>
      <c r="B48" s="23">
        <f>690160319.82</f>
        <v>690160319.82000005</v>
      </c>
      <c r="C48" s="23">
        <f>689237927.33</f>
        <v>689237927.33000004</v>
      </c>
      <c r="D48" s="23">
        <f>24125444.06</f>
        <v>24125444.059999999</v>
      </c>
      <c r="E48" s="23">
        <f>6830946.72</f>
        <v>6830946.7199999997</v>
      </c>
      <c r="F48" s="23">
        <f>848277.73</f>
        <v>848277.73</v>
      </c>
      <c r="G48" s="23">
        <f>15926829.55</f>
        <v>15926829.550000001</v>
      </c>
      <c r="H48" s="23">
        <f>519390.06</f>
        <v>519390.06</v>
      </c>
      <c r="I48" s="23">
        <f>0</f>
        <v>0</v>
      </c>
      <c r="J48" s="23">
        <f>3382192.87</f>
        <v>3382192.87</v>
      </c>
      <c r="K48" s="23">
        <f>1055649.26</f>
        <v>1055649.26</v>
      </c>
      <c r="L48" s="23">
        <f>182159073.35</f>
        <v>182159073.34999999</v>
      </c>
      <c r="M48" s="23">
        <f>473024686.24</f>
        <v>473024686.24000001</v>
      </c>
      <c r="N48" s="23">
        <f>5490881.55</f>
        <v>5490881.5499999998</v>
      </c>
      <c r="O48" s="23">
        <f>922392.49</f>
        <v>922392.49</v>
      </c>
      <c r="P48" s="23">
        <f>196650.85</f>
        <v>196650.85</v>
      </c>
      <c r="Q48" s="23">
        <f>725741.64</f>
        <v>725741.64</v>
      </c>
    </row>
    <row r="49" spans="1:17" ht="25.5" customHeight="1" x14ac:dyDescent="0.2">
      <c r="A49" s="18" t="s">
        <v>36</v>
      </c>
      <c r="B49" s="24">
        <f>134064886.16</f>
        <v>134064886.16</v>
      </c>
      <c r="C49" s="24">
        <f>134021685.22</f>
        <v>134021685.22</v>
      </c>
      <c r="D49" s="24">
        <f>3033133.57</f>
        <v>3033133.57</v>
      </c>
      <c r="E49" s="24">
        <f>264784.54</f>
        <v>264784.53999999998</v>
      </c>
      <c r="F49" s="24">
        <f>3019</f>
        <v>3019</v>
      </c>
      <c r="G49" s="24">
        <f>2248986.42</f>
        <v>2248986.42</v>
      </c>
      <c r="H49" s="24">
        <f>516343.61</f>
        <v>516343.61</v>
      </c>
      <c r="I49" s="24">
        <f>0</f>
        <v>0</v>
      </c>
      <c r="J49" s="24">
        <f>378609.02</f>
        <v>378609.02</v>
      </c>
      <c r="K49" s="24">
        <f>848507.39</f>
        <v>848507.39</v>
      </c>
      <c r="L49" s="24">
        <f>64661940.45</f>
        <v>64661940.450000003</v>
      </c>
      <c r="M49" s="24">
        <f>63927190.65</f>
        <v>63927190.649999999</v>
      </c>
      <c r="N49" s="24">
        <f>1172304.14</f>
        <v>1172304.1399999999</v>
      </c>
      <c r="O49" s="24">
        <f>43200.94</f>
        <v>43200.94</v>
      </c>
      <c r="P49" s="24">
        <f>43200.94</f>
        <v>43200.94</v>
      </c>
      <c r="Q49" s="24">
        <f>0</f>
        <v>0</v>
      </c>
    </row>
    <row r="50" spans="1:17" ht="25.5" customHeight="1" x14ac:dyDescent="0.2">
      <c r="A50" s="18" t="s">
        <v>37</v>
      </c>
      <c r="B50" s="24">
        <f>556095433.66</f>
        <v>556095433.65999997</v>
      </c>
      <c r="C50" s="24">
        <f>555216242.11</f>
        <v>555216242.11000001</v>
      </c>
      <c r="D50" s="24">
        <f>21092310.49</f>
        <v>21092310.489999998</v>
      </c>
      <c r="E50" s="24">
        <f>6566162.18</f>
        <v>6566162.1799999997</v>
      </c>
      <c r="F50" s="24">
        <f>845258.73</f>
        <v>845258.73</v>
      </c>
      <c r="G50" s="24">
        <f>13677843.13</f>
        <v>13677843.130000001</v>
      </c>
      <c r="H50" s="24">
        <f>3046.45</f>
        <v>3046.45</v>
      </c>
      <c r="I50" s="24">
        <f>0</f>
        <v>0</v>
      </c>
      <c r="J50" s="24">
        <f>3003583.85</f>
        <v>3003583.85</v>
      </c>
      <c r="K50" s="24">
        <f>207141.87</f>
        <v>207141.87</v>
      </c>
      <c r="L50" s="24">
        <f>117497132.9</f>
        <v>117497132.90000001</v>
      </c>
      <c r="M50" s="24">
        <f>409097495.59</f>
        <v>409097495.58999997</v>
      </c>
      <c r="N50" s="24">
        <f>4318577.41</f>
        <v>4318577.41</v>
      </c>
      <c r="O50" s="24">
        <f>879191.55</f>
        <v>879191.55</v>
      </c>
      <c r="P50" s="24">
        <f>153449.91</f>
        <v>153449.91</v>
      </c>
      <c r="Q50" s="24">
        <f>725741.64</f>
        <v>725741.64</v>
      </c>
    </row>
    <row r="51" spans="1:17" ht="30" customHeight="1" x14ac:dyDescent="0.2">
      <c r="A51" s="25" t="s">
        <v>44</v>
      </c>
      <c r="B51" s="23">
        <f>603062309.32</f>
        <v>603062309.32000005</v>
      </c>
      <c r="C51" s="23">
        <f>602887120.78</f>
        <v>602887120.77999997</v>
      </c>
      <c r="D51" s="23">
        <f>218122612.84</f>
        <v>218122612.84</v>
      </c>
      <c r="E51" s="23">
        <f>23794660.41</f>
        <v>23794660.41</v>
      </c>
      <c r="F51" s="23">
        <f>2222565.28</f>
        <v>2222565.2799999998</v>
      </c>
      <c r="G51" s="23">
        <f>183050918.93</f>
        <v>183050918.93000001</v>
      </c>
      <c r="H51" s="23">
        <f>9054468.22</f>
        <v>9054468.2200000007</v>
      </c>
      <c r="I51" s="23">
        <f>0</f>
        <v>0</v>
      </c>
      <c r="J51" s="23">
        <f>350930.61</f>
        <v>350930.61</v>
      </c>
      <c r="K51" s="23">
        <f>7143497.17</f>
        <v>7143497.1699999999</v>
      </c>
      <c r="L51" s="23">
        <f>284544136.43</f>
        <v>284544136.43000001</v>
      </c>
      <c r="M51" s="23">
        <f>90143795.78</f>
        <v>90143795.780000001</v>
      </c>
      <c r="N51" s="23">
        <f>2582147.95</f>
        <v>2582147.9500000002</v>
      </c>
      <c r="O51" s="23">
        <f>175188.54</f>
        <v>175188.54</v>
      </c>
      <c r="P51" s="23">
        <f>10414.23</f>
        <v>10414.23</v>
      </c>
      <c r="Q51" s="23">
        <f>164774.31</f>
        <v>164774.31</v>
      </c>
    </row>
    <row r="52" spans="1:17" ht="31.5" customHeight="1" x14ac:dyDescent="0.2">
      <c r="A52" s="18" t="s">
        <v>38</v>
      </c>
      <c r="B52" s="24">
        <f>94788776.2</f>
        <v>94788776.200000003</v>
      </c>
      <c r="C52" s="24">
        <f>94774183.18</f>
        <v>94774183.180000007</v>
      </c>
      <c r="D52" s="24">
        <f>39570512.25</f>
        <v>39570512.25</v>
      </c>
      <c r="E52" s="24">
        <f>563267.4</f>
        <v>563267.4</v>
      </c>
      <c r="F52" s="24">
        <f>535560.74</f>
        <v>535560.74</v>
      </c>
      <c r="G52" s="24">
        <f>35293704.86</f>
        <v>35293704.859999999</v>
      </c>
      <c r="H52" s="24">
        <f>3177979.25</f>
        <v>3177979.25</v>
      </c>
      <c r="I52" s="24">
        <f>0</f>
        <v>0</v>
      </c>
      <c r="J52" s="24">
        <f>159601.25</f>
        <v>159601.25</v>
      </c>
      <c r="K52" s="24">
        <f>200942.08</f>
        <v>200942.07999999999</v>
      </c>
      <c r="L52" s="24">
        <f>24771453.63</f>
        <v>24771453.629999999</v>
      </c>
      <c r="M52" s="24">
        <f>28945360.26</f>
        <v>28945360.260000002</v>
      </c>
      <c r="N52" s="24">
        <f>1126313.71</f>
        <v>1126313.71</v>
      </c>
      <c r="O52" s="24">
        <f>14593.02</f>
        <v>14593.02</v>
      </c>
      <c r="P52" s="24">
        <f>6026.02</f>
        <v>6026.02</v>
      </c>
      <c r="Q52" s="24">
        <f>8567</f>
        <v>8567</v>
      </c>
    </row>
    <row r="53" spans="1:17" ht="35.25" customHeight="1" x14ac:dyDescent="0.2">
      <c r="A53" s="18" t="s">
        <v>80</v>
      </c>
      <c r="B53" s="24">
        <f>4149459.52</f>
        <v>4149459.52</v>
      </c>
      <c r="C53" s="24">
        <f>4146679.52</f>
        <v>4146679.52</v>
      </c>
      <c r="D53" s="24">
        <f>3823296.56</f>
        <v>3823296.56</v>
      </c>
      <c r="E53" s="24">
        <f>3520727.41</f>
        <v>3520727.41</v>
      </c>
      <c r="F53" s="24">
        <f>0</f>
        <v>0</v>
      </c>
      <c r="G53" s="24">
        <f>74623.68</f>
        <v>74623.679999999993</v>
      </c>
      <c r="H53" s="24">
        <f>227945.47</f>
        <v>227945.47</v>
      </c>
      <c r="I53" s="24">
        <f>0</f>
        <v>0</v>
      </c>
      <c r="J53" s="24">
        <f>0</f>
        <v>0</v>
      </c>
      <c r="K53" s="24">
        <f>808.08</f>
        <v>808.08</v>
      </c>
      <c r="L53" s="24">
        <f>78119.9</f>
        <v>78119.899999999994</v>
      </c>
      <c r="M53" s="24">
        <f>243077.64</f>
        <v>243077.64</v>
      </c>
      <c r="N53" s="24">
        <f>1377.34</f>
        <v>1377.34</v>
      </c>
      <c r="O53" s="24">
        <f>2780</f>
        <v>2780</v>
      </c>
      <c r="P53" s="24">
        <f>2780</f>
        <v>2780</v>
      </c>
      <c r="Q53" s="24">
        <f>0</f>
        <v>0</v>
      </c>
    </row>
    <row r="54" spans="1:17" ht="31.5" customHeight="1" x14ac:dyDescent="0.2">
      <c r="A54" s="18" t="s">
        <v>39</v>
      </c>
      <c r="B54" s="24">
        <f>504124073.6</f>
        <v>504124073.60000002</v>
      </c>
      <c r="C54" s="24">
        <f>503966258.08</f>
        <v>503966258.07999998</v>
      </c>
      <c r="D54" s="24">
        <f>174728804.03</f>
        <v>174728804.03</v>
      </c>
      <c r="E54" s="24">
        <f>19710665.6</f>
        <v>19710665.600000001</v>
      </c>
      <c r="F54" s="24">
        <f>1687004.54</f>
        <v>1687004.54</v>
      </c>
      <c r="G54" s="24">
        <f>147682590.39</f>
        <v>147682590.38999999</v>
      </c>
      <c r="H54" s="24">
        <f>5648543.5</f>
        <v>5648543.5</v>
      </c>
      <c r="I54" s="24">
        <f>0</f>
        <v>0</v>
      </c>
      <c r="J54" s="24">
        <f>191329.36</f>
        <v>191329.36</v>
      </c>
      <c r="K54" s="24">
        <f>6941747.01</f>
        <v>6941747.0099999998</v>
      </c>
      <c r="L54" s="24">
        <f>259694562.9</f>
        <v>259694562.90000001</v>
      </c>
      <c r="M54" s="24">
        <f>60955357.88</f>
        <v>60955357.880000003</v>
      </c>
      <c r="N54" s="24">
        <f>1454456.9</f>
        <v>1454456.9</v>
      </c>
      <c r="O54" s="24">
        <f>157815.52</f>
        <v>157815.51999999999</v>
      </c>
      <c r="P54" s="24">
        <f>1608.21</f>
        <v>1608.21</v>
      </c>
      <c r="Q54" s="24">
        <f>156207.31</f>
        <v>156207.31</v>
      </c>
    </row>
    <row r="63" spans="1:17" ht="66" customHeight="1" x14ac:dyDescent="0.2">
      <c r="A63" s="31" t="str">
        <f>CONCATENATE("Informacja z wykonania budżetów powiatów za   ",$C$90," ",$B$91," roku    ",$B$93,"")</f>
        <v xml:space="preserve">Informacja z wykonania budżetów powiatów za   I Kwartał 2022 roku    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4" spans="1:17" ht="13.5" customHeight="1" x14ac:dyDescent="0.2">
      <c r="B64" s="41" t="s">
        <v>2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6" spans="2:12" ht="13.5" customHeight="1" x14ac:dyDescent="0.2">
      <c r="B66" s="45" t="s">
        <v>0</v>
      </c>
      <c r="C66" s="46"/>
      <c r="D66" s="46"/>
      <c r="E66" s="47"/>
      <c r="F66" s="67" t="s">
        <v>68</v>
      </c>
      <c r="G66" s="42" t="s">
        <v>74</v>
      </c>
      <c r="H66" s="56"/>
      <c r="I66" s="56"/>
      <c r="J66" s="56"/>
      <c r="K66" s="56"/>
      <c r="L66" s="43"/>
    </row>
    <row r="67" spans="2:12" ht="13.5" customHeight="1" x14ac:dyDescent="0.2">
      <c r="B67" s="48"/>
      <c r="C67" s="49"/>
      <c r="D67" s="49"/>
      <c r="E67" s="50"/>
      <c r="F67" s="68"/>
      <c r="G67" s="70" t="s">
        <v>69</v>
      </c>
      <c r="H67" s="44" t="s">
        <v>66</v>
      </c>
      <c r="I67" s="44" t="s">
        <v>67</v>
      </c>
      <c r="J67" s="44" t="s">
        <v>70</v>
      </c>
      <c r="K67" s="44" t="s">
        <v>71</v>
      </c>
      <c r="L67" s="85" t="s">
        <v>72</v>
      </c>
    </row>
    <row r="68" spans="2:12" ht="13.5" customHeight="1" x14ac:dyDescent="0.2">
      <c r="B68" s="48"/>
      <c r="C68" s="49"/>
      <c r="D68" s="49"/>
      <c r="E68" s="50"/>
      <c r="F68" s="68"/>
      <c r="G68" s="70"/>
      <c r="H68" s="44"/>
      <c r="I68" s="44"/>
      <c r="J68" s="44"/>
      <c r="K68" s="44"/>
      <c r="L68" s="85"/>
    </row>
    <row r="69" spans="2:12" ht="11.25" customHeight="1" x14ac:dyDescent="0.2">
      <c r="B69" s="48"/>
      <c r="C69" s="49"/>
      <c r="D69" s="49"/>
      <c r="E69" s="50"/>
      <c r="F69" s="68"/>
      <c r="G69" s="70"/>
      <c r="H69" s="44"/>
      <c r="I69" s="44"/>
      <c r="J69" s="44"/>
      <c r="K69" s="44"/>
      <c r="L69" s="85"/>
    </row>
    <row r="70" spans="2:12" ht="11.25" customHeight="1" x14ac:dyDescent="0.2">
      <c r="B70" s="51"/>
      <c r="C70" s="52"/>
      <c r="D70" s="52"/>
      <c r="E70" s="53"/>
      <c r="F70" s="69"/>
      <c r="G70" s="70"/>
      <c r="H70" s="44"/>
      <c r="I70" s="44"/>
      <c r="J70" s="44"/>
      <c r="K70" s="44"/>
      <c r="L70" s="85"/>
    </row>
    <row r="71" spans="2:12" ht="11.25" customHeight="1" x14ac:dyDescent="0.2">
      <c r="B71" s="44">
        <v>1</v>
      </c>
      <c r="C71" s="44"/>
      <c r="D71" s="44"/>
      <c r="E71" s="44"/>
      <c r="F71" s="3">
        <v>2</v>
      </c>
      <c r="G71" s="3">
        <v>3</v>
      </c>
      <c r="H71" s="3">
        <v>4</v>
      </c>
      <c r="I71" s="3">
        <v>5</v>
      </c>
      <c r="J71" s="3">
        <v>6</v>
      </c>
      <c r="K71" s="3">
        <v>7</v>
      </c>
      <c r="L71" s="3">
        <v>8</v>
      </c>
    </row>
    <row r="72" spans="2:12" ht="12.75" customHeight="1" x14ac:dyDescent="0.2">
      <c r="B72" s="44"/>
      <c r="C72" s="44"/>
      <c r="D72" s="44"/>
      <c r="E72" s="44"/>
      <c r="F72" s="42" t="s">
        <v>76</v>
      </c>
      <c r="G72" s="83"/>
      <c r="H72" s="83"/>
      <c r="I72" s="83"/>
      <c r="J72" s="83"/>
      <c r="K72" s="83"/>
      <c r="L72" s="84"/>
    </row>
    <row r="73" spans="2:12" ht="33.75" customHeight="1" x14ac:dyDescent="0.2">
      <c r="B73" s="36" t="s">
        <v>53</v>
      </c>
      <c r="C73" s="37"/>
      <c r="D73" s="37"/>
      <c r="E73" s="38"/>
      <c r="F73" s="26">
        <f>555847532.03</f>
        <v>555847532.02999997</v>
      </c>
      <c r="G73" s="26">
        <f>311629240.66</f>
        <v>311629240.66000003</v>
      </c>
      <c r="H73" s="26">
        <f>14189594.81</f>
        <v>14189594.810000001</v>
      </c>
      <c r="I73" s="26">
        <f>35803787.5</f>
        <v>35803787.5</v>
      </c>
      <c r="J73" s="26">
        <f>258379488.71</f>
        <v>258379488.71000001</v>
      </c>
      <c r="K73" s="26">
        <f>3256369.64</f>
        <v>3256369.64</v>
      </c>
      <c r="L73" s="26">
        <f>244218291.37</f>
        <v>244218291.37</v>
      </c>
    </row>
    <row r="74" spans="2:12" ht="33.75" customHeight="1" x14ac:dyDescent="0.2">
      <c r="B74" s="36" t="s">
        <v>54</v>
      </c>
      <c r="C74" s="37"/>
      <c r="D74" s="37"/>
      <c r="E74" s="38"/>
      <c r="F74" s="26">
        <f>14241194.79</f>
        <v>14241194.789999999</v>
      </c>
      <c r="G74" s="26">
        <f>14241194.79</f>
        <v>14241194.789999999</v>
      </c>
      <c r="H74" s="26">
        <f>0</f>
        <v>0</v>
      </c>
      <c r="I74" s="26">
        <f>0</f>
        <v>0</v>
      </c>
      <c r="J74" s="26">
        <f>14241194.79</f>
        <v>14241194.789999999</v>
      </c>
      <c r="K74" s="26">
        <f>0</f>
        <v>0</v>
      </c>
      <c r="L74" s="26">
        <f>0</f>
        <v>0</v>
      </c>
    </row>
    <row r="75" spans="2:12" ht="33.75" customHeight="1" x14ac:dyDescent="0.2">
      <c r="B75" s="36" t="s">
        <v>55</v>
      </c>
      <c r="C75" s="37"/>
      <c r="D75" s="37"/>
      <c r="E75" s="38"/>
      <c r="F75" s="26">
        <f>10394093.65</f>
        <v>10394093.65</v>
      </c>
      <c r="G75" s="26">
        <f>500000</f>
        <v>500000</v>
      </c>
      <c r="H75" s="26">
        <f>0</f>
        <v>0</v>
      </c>
      <c r="I75" s="26">
        <f>0</f>
        <v>0</v>
      </c>
      <c r="J75" s="26">
        <f>500000</f>
        <v>500000</v>
      </c>
      <c r="K75" s="26">
        <f>0</f>
        <v>0</v>
      </c>
      <c r="L75" s="26">
        <f>9894093.65</f>
        <v>9894093.6500000004</v>
      </c>
    </row>
    <row r="76" spans="2:12" ht="22.5" customHeight="1" x14ac:dyDescent="0.2">
      <c r="B76" s="36" t="s">
        <v>56</v>
      </c>
      <c r="C76" s="37"/>
      <c r="D76" s="37"/>
      <c r="E76" s="38"/>
      <c r="F76" s="26">
        <f>45159498.1</f>
        <v>45159498.100000001</v>
      </c>
      <c r="G76" s="26">
        <f>19137064.52</f>
        <v>19137064.52</v>
      </c>
      <c r="H76" s="26">
        <f>0</f>
        <v>0</v>
      </c>
      <c r="I76" s="26">
        <f>0</f>
        <v>0</v>
      </c>
      <c r="J76" s="26">
        <f>19137064.52</f>
        <v>19137064.52</v>
      </c>
      <c r="K76" s="26">
        <f>0</f>
        <v>0</v>
      </c>
      <c r="L76" s="26">
        <f>26022433.58</f>
        <v>26022433.579999998</v>
      </c>
    </row>
    <row r="77" spans="2:12" ht="33.75" customHeight="1" x14ac:dyDescent="0.2">
      <c r="B77" s="36" t="s">
        <v>57</v>
      </c>
      <c r="C77" s="37"/>
      <c r="D77" s="37"/>
      <c r="E77" s="38"/>
      <c r="F77" s="26">
        <f>11754762.43</f>
        <v>11754762.43</v>
      </c>
      <c r="G77" s="26">
        <f>11270051.07</f>
        <v>11270051.07</v>
      </c>
      <c r="H77" s="26">
        <f>0</f>
        <v>0</v>
      </c>
      <c r="I77" s="26">
        <f>0</f>
        <v>0</v>
      </c>
      <c r="J77" s="26">
        <f>11270051.07</f>
        <v>11270051.07</v>
      </c>
      <c r="K77" s="26">
        <f>0</f>
        <v>0</v>
      </c>
      <c r="L77" s="26">
        <f>484711.36</f>
        <v>484711.36</v>
      </c>
    </row>
    <row r="78" spans="2:12" ht="33.75" customHeight="1" x14ac:dyDescent="0.2">
      <c r="B78" s="36" t="s">
        <v>58</v>
      </c>
      <c r="C78" s="37"/>
      <c r="D78" s="37"/>
      <c r="E78" s="38"/>
      <c r="F78" s="26">
        <f>696018.78</f>
        <v>696018.78</v>
      </c>
      <c r="G78" s="26">
        <f>432916.67</f>
        <v>432916.67</v>
      </c>
      <c r="H78" s="26">
        <f>0</f>
        <v>0</v>
      </c>
      <c r="I78" s="26">
        <f>0</f>
        <v>0</v>
      </c>
      <c r="J78" s="26">
        <f>432916.67</f>
        <v>432916.67</v>
      </c>
      <c r="K78" s="26">
        <f>0</f>
        <v>0</v>
      </c>
      <c r="L78" s="26">
        <f>263102.11</f>
        <v>263102.11</v>
      </c>
    </row>
    <row r="79" spans="2:12" ht="22.5" customHeight="1" x14ac:dyDescent="0.2">
      <c r="B79" s="36" t="s">
        <v>59</v>
      </c>
      <c r="C79" s="37"/>
      <c r="D79" s="37"/>
      <c r="E79" s="38"/>
      <c r="F79" s="26">
        <f>0</f>
        <v>0</v>
      </c>
      <c r="G79" s="26">
        <f>0</f>
        <v>0</v>
      </c>
      <c r="H79" s="26">
        <f>0</f>
        <v>0</v>
      </c>
      <c r="I79" s="26">
        <f>0</f>
        <v>0</v>
      </c>
      <c r="J79" s="26">
        <f>0</f>
        <v>0</v>
      </c>
      <c r="K79" s="26">
        <f>0</f>
        <v>0</v>
      </c>
      <c r="L79" s="26">
        <f>0</f>
        <v>0</v>
      </c>
    </row>
    <row r="82" spans="1:13" ht="75" customHeight="1" x14ac:dyDescent="0.2">
      <c r="A82" s="31" t="str">
        <f>CONCATENATE("Informacja z wykonania budżetów powiatów za   ",$C$90," ",$B$91," roku    ",$B$93,"")</f>
        <v xml:space="preserve">Informacja z wykonania budżetów powiatów za   I Kwartał 2022 roku    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ht="13.5" customHeight="1" x14ac:dyDescent="0.2">
      <c r="B83" s="4"/>
    </row>
    <row r="84" spans="1:13" ht="13.5" customHeight="1" x14ac:dyDescent="0.2">
      <c r="B84" s="5"/>
      <c r="C84" s="42"/>
      <c r="D84" s="56"/>
      <c r="E84" s="56"/>
      <c r="F84" s="43"/>
      <c r="G84" s="42" t="s">
        <v>3</v>
      </c>
      <c r="H84" s="43"/>
      <c r="I84" s="42" t="s">
        <v>4</v>
      </c>
      <c r="J84" s="43"/>
      <c r="K84" s="5"/>
    </row>
    <row r="85" spans="1:13" ht="13.5" customHeight="1" x14ac:dyDescent="0.2">
      <c r="B85" s="6"/>
      <c r="C85" s="57" t="s">
        <v>5</v>
      </c>
      <c r="D85" s="58"/>
      <c r="E85" s="58"/>
      <c r="F85" s="59"/>
      <c r="G85" s="54">
        <f>303</f>
        <v>303</v>
      </c>
      <c r="H85" s="55"/>
      <c r="I85" s="39">
        <f>1904802052.69</f>
        <v>1904802052.6900001</v>
      </c>
      <c r="J85" s="40"/>
      <c r="K85" s="7"/>
    </row>
    <row r="86" spans="1:13" ht="13.5" customHeight="1" x14ac:dyDescent="0.2">
      <c r="B86" s="6"/>
      <c r="C86" s="60" t="s">
        <v>6</v>
      </c>
      <c r="D86" s="61"/>
      <c r="E86" s="61"/>
      <c r="F86" s="62"/>
      <c r="G86" s="63">
        <f>11</f>
        <v>11</v>
      </c>
      <c r="H86" s="64"/>
      <c r="I86" s="65">
        <f>-13217877.67</f>
        <v>-13217877.67</v>
      </c>
      <c r="J86" s="66"/>
      <c r="K86" s="7"/>
    </row>
    <row r="87" spans="1:13" ht="13.5" customHeight="1" x14ac:dyDescent="0.2">
      <c r="B87" s="6"/>
      <c r="C87" s="57" t="s">
        <v>7</v>
      </c>
      <c r="D87" s="58"/>
      <c r="E87" s="58"/>
      <c r="F87" s="59"/>
      <c r="G87" s="54">
        <f>0</f>
        <v>0</v>
      </c>
      <c r="H87" s="55"/>
      <c r="I87" s="39">
        <f>0</f>
        <v>0</v>
      </c>
      <c r="J87" s="40"/>
      <c r="K87" s="7"/>
    </row>
    <row r="90" spans="1:13" ht="13.5" customHeight="1" x14ac:dyDescent="0.2">
      <c r="A90" s="8" t="s">
        <v>8</v>
      </c>
      <c r="B90" s="8">
        <f>1</f>
        <v>1</v>
      </c>
      <c r="C90" s="8" t="str">
        <f>IF(B90=1,"I Kwartał",IF(B90=2,"II Kwartały",IF(B90=3,"III Kwartały",IF(B90=4,"IV Kwartały","-"))))</f>
        <v>I Kwartał</v>
      </c>
    </row>
    <row r="91" spans="1:13" ht="13.5" customHeight="1" x14ac:dyDescent="0.2">
      <c r="A91" s="8" t="s">
        <v>9</v>
      </c>
      <c r="B91" s="8">
        <f>2022</f>
        <v>2022</v>
      </c>
      <c r="C91" s="9"/>
    </row>
    <row r="92" spans="1:13" ht="13.5" customHeight="1" x14ac:dyDescent="0.2">
      <c r="A92" s="8" t="s">
        <v>10</v>
      </c>
      <c r="B92" s="10" t="str">
        <f>"May 19 2022 12:00AM"</f>
        <v>May 19 2022 12:00AM</v>
      </c>
      <c r="C92" s="9"/>
    </row>
    <row r="93" spans="1:13" ht="13.5" customHeight="1" x14ac:dyDescent="0.2">
      <c r="A93" s="14" t="s">
        <v>75</v>
      </c>
      <c r="B93" s="10" t="str">
        <f>""</f>
        <v/>
      </c>
    </row>
  </sheetData>
  <mergeCells count="79">
    <mergeCell ref="B71:E71"/>
    <mergeCell ref="F72:L72"/>
    <mergeCell ref="L67:L70"/>
    <mergeCell ref="F32:F35"/>
    <mergeCell ref="G32:G35"/>
    <mergeCell ref="H32:H35"/>
    <mergeCell ref="K32:K35"/>
    <mergeCell ref="I32:I35"/>
    <mergeCell ref="J32:J35"/>
    <mergeCell ref="A31:A35"/>
    <mergeCell ref="C32:C35"/>
    <mergeCell ref="E32:E35"/>
    <mergeCell ref="B31:B35"/>
    <mergeCell ref="K67:K70"/>
    <mergeCell ref="H67:H70"/>
    <mergeCell ref="I67:I70"/>
    <mergeCell ref="J67:J70"/>
    <mergeCell ref="B37:Q37"/>
    <mergeCell ref="A29:M29"/>
    <mergeCell ref="G7:G10"/>
    <mergeCell ref="F7:F10"/>
    <mergeCell ref="I7:I10"/>
    <mergeCell ref="J7:J10"/>
    <mergeCell ref="B12:Q12"/>
    <mergeCell ref="A1:M1"/>
    <mergeCell ref="C5:M5"/>
    <mergeCell ref="A3:M3"/>
    <mergeCell ref="K7:K10"/>
    <mergeCell ref="C7:C10"/>
    <mergeCell ref="B6:B10"/>
    <mergeCell ref="A6:A10"/>
    <mergeCell ref="C6:N6"/>
    <mergeCell ref="D7:D10"/>
    <mergeCell ref="E7:E10"/>
    <mergeCell ref="L7:L10"/>
    <mergeCell ref="M7:M10"/>
    <mergeCell ref="N7:N10"/>
    <mergeCell ref="G87:H87"/>
    <mergeCell ref="I87:J87"/>
    <mergeCell ref="C84:F84"/>
    <mergeCell ref="C85:F85"/>
    <mergeCell ref="C86:F86"/>
    <mergeCell ref="C87:F87"/>
    <mergeCell ref="G85:H85"/>
    <mergeCell ref="G84:H84"/>
    <mergeCell ref="G86:H86"/>
    <mergeCell ref="I86:J86"/>
    <mergeCell ref="B78:E78"/>
    <mergeCell ref="I85:J85"/>
    <mergeCell ref="B64:M64"/>
    <mergeCell ref="I84:J84"/>
    <mergeCell ref="B72:E72"/>
    <mergeCell ref="B66:E70"/>
    <mergeCell ref="B79:E79"/>
    <mergeCell ref="A82:M82"/>
    <mergeCell ref="B75:E75"/>
    <mergeCell ref="B76:E76"/>
    <mergeCell ref="B77:E77"/>
    <mergeCell ref="B74:E74"/>
    <mergeCell ref="B73:E73"/>
    <mergeCell ref="F66:F70"/>
    <mergeCell ref="G67:G70"/>
    <mergeCell ref="G66:L66"/>
    <mergeCell ref="O6:Q6"/>
    <mergeCell ref="O7:O10"/>
    <mergeCell ref="A63:M63"/>
    <mergeCell ref="L32:L35"/>
    <mergeCell ref="P32:P35"/>
    <mergeCell ref="Q32:Q35"/>
    <mergeCell ref="N32:N35"/>
    <mergeCell ref="O32:O35"/>
    <mergeCell ref="D32:D35"/>
    <mergeCell ref="H7:H10"/>
    <mergeCell ref="M32:M35"/>
    <mergeCell ref="Q7:Q10"/>
    <mergeCell ref="C31:N31"/>
    <mergeCell ref="P7:P10"/>
    <mergeCell ref="A27:M27"/>
    <mergeCell ref="O31:Q31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6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2009-11-20T13:10:55Z</cp:lastPrinted>
  <dcterms:created xsi:type="dcterms:W3CDTF">2001-05-17T08:58:03Z</dcterms:created>
  <dcterms:modified xsi:type="dcterms:W3CDTF">2022-06-13T19:05:21Z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2022-06-13T21:04:28.2770725+02:00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GRN-1d847fa4-0503-4639-bc9a-544eeca37ee5</vt:lpwstr>
  </property>
  <property fmtid="{D5CDD505-2E9C-101B-9397-08002B2CF9AE}" pid="7" name="MFHash">
    <vt:lpwstr>urVpMCrMsnOgMYIwBKgHMqviAyxlo7o8wSRnfNIU0f8=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